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035" tabRatio="1000" activeTab="2"/>
  </bookViews>
  <sheets>
    <sheet name="1. Ermittlung Energieverbrauch" sheetId="1" r:id="rId1"/>
    <sheet name="2. Dateneingabe" sheetId="2" r:id="rId2"/>
    <sheet name="3. Ausgabe" sheetId="3" r:id="rId3"/>
    <sheet name="Steuerungselemente" sheetId="4" r:id="rId4"/>
    <sheet name="Argumente" sheetId="5" r:id="rId5"/>
  </sheets>
  <definedNames>
    <definedName name="_xlnm.Print_Area" localSheetId="0">'1. Ermittlung Energieverbrauch'!$A$1:$H$49</definedName>
    <definedName name="_xlnm.Print_Area" localSheetId="2">'3. Ausgabe'!$A$1:$N$56</definedName>
    <definedName name="EKData">'2. Dateneingabe'!$A$1:$AK$61</definedName>
    <definedName name="EKost">'Steuerungselemente'!$A$1:$A$14</definedName>
  </definedNames>
  <calcPr fullCalcOnLoad="1"/>
</workbook>
</file>

<file path=xl/comments1.xml><?xml version="1.0" encoding="utf-8"?>
<comments xmlns="http://schemas.openxmlformats.org/spreadsheetml/2006/main">
  <authors>
    <author>Marian Vogel</author>
    <author>Vogel, Marian</author>
  </authors>
  <commentList>
    <comment ref="A5" authorId="0">
      <text>
        <r>
          <rPr>
            <sz val="8"/>
            <rFont val="Tahoma"/>
            <family val="2"/>
          </rPr>
          <t xml:space="preserve">Bei Altanlagen Gesamtverbrauch angeben!
</t>
        </r>
      </text>
    </comment>
    <comment ref="F5" authorId="0">
      <text>
        <r>
          <rPr>
            <sz val="8"/>
            <rFont val="Tahoma"/>
            <family val="2"/>
          </rPr>
          <t>Üblicher Weise nur Angabe des Heizwärmebedarfs, d.h. ohne Warmwasser</t>
        </r>
      </text>
    </comment>
    <comment ref="C6" authorId="0">
      <text>
        <r>
          <rPr>
            <sz val="8"/>
            <rFont val="Tahoma"/>
            <family val="2"/>
          </rPr>
          <t>1500 l Öl bzw. Gas Verbrauch sowie
50 l bei 45 °C sind Daten aus dem STIWA-Test.</t>
        </r>
      </text>
    </comment>
    <comment ref="G6" authorId="0">
      <text>
        <r>
          <rPr>
            <sz val="8"/>
            <rFont val="Tahoma"/>
            <family val="2"/>
          </rPr>
          <t>Wohnfläche</t>
        </r>
      </text>
    </comment>
    <comment ref="G7" authorId="0">
      <text>
        <r>
          <rPr>
            <sz val="8"/>
            <rFont val="Tahoma"/>
            <family val="2"/>
          </rPr>
          <t xml:space="preserve">nur Heizwärmebedarf nach WschVo95
</t>
        </r>
      </text>
    </comment>
    <comment ref="A9" authorId="0">
      <text>
        <r>
          <rPr>
            <sz val="8"/>
            <rFont val="Tahoma"/>
            <family val="2"/>
          </rPr>
          <t>Verbrauch von Nachtspeicherofen und elektrischer Warmwasser-Boiler.</t>
        </r>
      </text>
    </comment>
    <comment ref="A12" authorId="0">
      <text>
        <r>
          <rPr>
            <sz val="8"/>
            <rFont val="Tahoma"/>
            <family val="2"/>
          </rPr>
          <t>Jahresnutzungsgrad Kessel, oder Wirkungsgrad Nachtspeicherofen inkl. Bereitstellungsverluste</t>
        </r>
      </text>
    </comment>
    <comment ref="D35" authorId="0">
      <text>
        <r>
          <rPr>
            <sz val="8"/>
            <rFont val="Arial"/>
            <family val="2"/>
          </rPr>
          <t>Deckungsrate, für Solarthermie beispielsweise Werte aus T-Sol oder vergleichbaren Symulationsprogrammen verwenden</t>
        </r>
      </text>
    </comment>
    <comment ref="G36" authorId="0">
      <text>
        <r>
          <rPr>
            <sz val="8"/>
            <rFont val="Tahoma"/>
            <family val="2"/>
          </rPr>
          <t>Errechnet sich aus dem
Primärenergieeinsatz abzüglich der Solaren Deckung von (Heizung + Warmwasser).</t>
        </r>
      </text>
    </comment>
    <comment ref="D34" authorId="1">
      <text>
        <r>
          <rPr>
            <sz val="8"/>
            <rFont val="Arial"/>
            <family val="2"/>
          </rPr>
          <t>Deckungsrate, für Solarthermie beispielsweise Werte aus T-Sol oder vergleichbaren Symulationsprogrammen verwenden</t>
        </r>
      </text>
    </comment>
    <comment ref="D10" authorId="1">
      <text>
        <r>
          <rPr>
            <b/>
            <sz val="8"/>
            <rFont val="Arial"/>
            <family val="2"/>
          </rPr>
          <t xml:space="preserve"> bzw. Raummeter Holz, entspricht 2100 kWh pro m³</t>
        </r>
        <r>
          <rPr>
            <sz val="9"/>
            <rFont val="Segoe UI"/>
            <family val="2"/>
          </rPr>
          <t xml:space="preserve">
</t>
        </r>
      </text>
    </comment>
    <comment ref="D11" authorId="1">
      <text>
        <r>
          <rPr>
            <b/>
            <sz val="8"/>
            <rFont val="Arial"/>
            <family val="2"/>
          </rPr>
          <t>bzw. Raummeter Holz, entspricht 1700 kWh pro m³</t>
        </r>
      </text>
    </comment>
    <comment ref="D12" authorId="1">
      <text>
        <r>
          <rPr>
            <b/>
            <sz val="8"/>
            <rFont val="Arial"/>
            <family val="2"/>
          </rPr>
          <t>Bei bivalenten Bestandsanlagen bitte gemittelten Anlagennutzungsgrad angeben.</t>
        </r>
      </text>
    </comment>
    <comment ref="D39" authorId="1">
      <text>
        <r>
          <rPr>
            <b/>
            <sz val="9"/>
            <rFont val="Segoe UI"/>
            <family val="2"/>
          </rPr>
          <t>Einbindung einer zusätzlichen Kühlquelle</t>
        </r>
      </text>
    </comment>
    <comment ref="E18" authorId="1">
      <text>
        <r>
          <rPr>
            <b/>
            <sz val="9"/>
            <rFont val="Segoe UI"/>
            <family val="2"/>
          </rPr>
          <t>Abschätzung siehe ENEV Berechnung</t>
        </r>
      </text>
    </comment>
    <comment ref="E22" authorId="1">
      <text>
        <r>
          <rPr>
            <b/>
            <sz val="9"/>
            <rFont val="Segoe UI"/>
            <family val="2"/>
          </rPr>
          <t>Wärmeeintrag in der Heizperiode, wenn die Trinkwasseraufbereitung und Verteilung innerhalb der beheizten Gebäudehülle stattfindet</t>
        </r>
      </text>
    </comment>
    <comment ref="G40" authorId="0">
      <text>
        <r>
          <rPr>
            <sz val="8"/>
            <rFont val="Tahoma"/>
            <family val="2"/>
          </rPr>
          <t>Errechnet sich aus dem
Primärenergieeinsatz abzüglich der Solaren Deckung von (Heizung + Warmwasser).</t>
        </r>
      </text>
    </comment>
  </commentList>
</comments>
</file>

<file path=xl/comments2.xml><?xml version="1.0" encoding="utf-8"?>
<comments xmlns="http://schemas.openxmlformats.org/spreadsheetml/2006/main">
  <authors>
    <author>Marian Vogel</author>
    <author>argocd</author>
    <author>MVogel</author>
    <author>Vogel, Marian</author>
  </authors>
  <commentList>
    <comment ref="L61" authorId="0">
      <text>
        <r>
          <rPr>
            <b/>
            <sz val="8"/>
            <rFont val="Tahoma"/>
            <family val="2"/>
          </rPr>
          <t xml:space="preserve">Formel berücksichtigt: Wirkungsgrad = Jahresnutzungsgrad des Kessels;
Strombezug des Kessels aus dem öffentlichen Netz
</t>
        </r>
      </text>
    </comment>
    <comment ref="N61" authorId="0">
      <text>
        <r>
          <rPr>
            <b/>
            <sz val="8"/>
            <rFont val="Tahoma"/>
            <family val="2"/>
          </rPr>
          <t xml:space="preserve">Formel berücksichtigt: Wirkungsgrad = Jahresnutzungsgrad des Kessels
Strombezug aus dem öffentlichen Netz
</t>
        </r>
      </text>
    </comment>
    <comment ref="T60" authorId="0">
      <text>
        <r>
          <rPr>
            <sz val="8"/>
            <rFont val="Tahoma"/>
            <family val="2"/>
          </rPr>
          <t>Rentabilität wird früher erreicht, wenn man die Entsorgungskosten der Öl-Tanks mit einbezieht.</t>
        </r>
      </text>
    </comment>
    <comment ref="T61" authorId="0">
      <text>
        <r>
          <rPr>
            <b/>
            <sz val="8"/>
            <rFont val="Tahoma"/>
            <family val="2"/>
          </rPr>
          <t>Formel berücksichtigt: Wirkungsgrad = Jahresnutzungsgrad des Kessels
Strombezug aus dem öffentlichen Netz</t>
        </r>
      </text>
    </comment>
    <comment ref="AB61" authorId="0">
      <text>
        <r>
          <rPr>
            <b/>
            <sz val="8"/>
            <rFont val="Tahoma"/>
            <family val="2"/>
          </rPr>
          <t>Formel berücksichtigt: Wirkungsgrad = Jahresnutzungsgrad des Kessels</t>
        </r>
      </text>
    </comment>
    <comment ref="A1" authorId="1">
      <text>
        <r>
          <rPr>
            <sz val="8"/>
            <rFont val="Tahoma"/>
            <family val="2"/>
          </rPr>
          <t>Rentabilität wird früher erreicht, wenn man die Entsorgungskosten der Öl-Tanks mit einbezieht.</t>
        </r>
      </text>
    </comment>
    <comment ref="A1" authorId="1">
      <text>
        <r>
          <rPr>
            <b/>
            <sz val="8"/>
            <rFont val="Tahoma"/>
            <family val="2"/>
          </rPr>
          <t>Formel berücksichtigt: Wirkungsgrad = Jahresnutzungsgrad des Kessels</t>
        </r>
      </text>
    </comment>
    <comment ref="L3" authorId="2">
      <text>
        <r>
          <rPr>
            <b/>
            <sz val="8"/>
            <rFont val="Tahoma"/>
            <family val="2"/>
          </rPr>
          <t>individuell einzugeben, als Infoquelle n
utzbar: www.carmen-ev.de</t>
        </r>
        <r>
          <rPr>
            <sz val="8"/>
            <rFont val="Tahoma"/>
            <family val="2"/>
          </rPr>
          <t xml:space="preserve">
</t>
        </r>
      </text>
    </comment>
    <comment ref="N3" authorId="2">
      <text>
        <r>
          <rPr>
            <b/>
            <sz val="8"/>
            <rFont val="Tahoma"/>
            <family val="2"/>
          </rPr>
          <t xml:space="preserve">Aktuelle Angaben zum Heizölpreis, siehe zum Beispiel unter www.comoil.de
Achtung je nach Gesetzeslage Mehrkosten für Bio-Öl Zumischung.
</t>
        </r>
      </text>
    </comment>
    <comment ref="A1" authorId="1">
      <text>
        <r>
          <rPr>
            <b/>
            <sz val="8"/>
            <rFont val="Tahoma"/>
            <family val="2"/>
          </rPr>
          <t>Tipp: Informationen über aktuelle Gaspreise finden Sie unter www.verivox.de</t>
        </r>
      </text>
    </comment>
    <comment ref="A1" authorId="1">
      <text>
        <r>
          <rPr>
            <b/>
            <sz val="8"/>
            <rFont val="Tahoma"/>
            <family val="2"/>
          </rPr>
          <t>Tipp: Informationen über aktuelle Gaspreise finden Sie unter www.verivox.de</t>
        </r>
      </text>
    </comment>
    <comment ref="L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N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1" authorId="1">
      <text>
        <r>
          <rPr>
            <b/>
            <sz val="8"/>
            <rFont val="Tahoma"/>
            <family val="2"/>
          </rPr>
          <t>Für jede verfügbare Alternative wird unter den oben angegebenen Preisen und notwendigen Brennstoffmenge, die Brennstoffkosten im aktuellem Jahr ermittelt.</t>
        </r>
      </text>
    </comment>
    <comment ref="L20" authorId="2">
      <text>
        <r>
          <rPr>
            <b/>
            <sz val="8"/>
            <rFont val="Tahoma"/>
            <family val="2"/>
          </rPr>
          <t>Quelle: www.co2-emissionen-vergleichen.de 30.12.2009</t>
        </r>
        <r>
          <rPr>
            <sz val="8"/>
            <rFont val="Tahoma"/>
            <family val="2"/>
          </rPr>
          <t xml:space="preserve">
</t>
        </r>
      </text>
    </comment>
    <comment ref="N20" authorId="2">
      <text>
        <r>
          <rPr>
            <b/>
            <sz val="8"/>
            <rFont val="Tahoma"/>
            <family val="2"/>
          </rPr>
          <t>Quelle: www.co2-emissionen-vergleichen.de 30.12.2009</t>
        </r>
        <r>
          <rPr>
            <sz val="8"/>
            <rFont val="Tahoma"/>
            <family val="2"/>
          </rPr>
          <t xml:space="preserve">
</t>
        </r>
      </text>
    </comment>
    <comment ref="A1" authorId="1">
      <text>
        <r>
          <rPr>
            <b/>
            <sz val="8"/>
            <rFont val="Tahoma"/>
            <family val="2"/>
          </rPr>
          <t>Quelle: www.co2-emissionen-vergleichen.de 30.12.2009</t>
        </r>
        <r>
          <rPr>
            <sz val="8"/>
            <rFont val="Tahoma"/>
            <family val="2"/>
          </rPr>
          <t xml:space="preserve">
</t>
        </r>
      </text>
    </comment>
    <comment ref="B10" authorId="2">
      <text>
        <r>
          <rPr>
            <b/>
            <sz val="8"/>
            <rFont val="Tahoma"/>
            <family val="2"/>
          </rPr>
          <t>Achtung!
Die Jahresarbeitszahl kann über den "JAZ Rechner" auf www.waermepumpe.de ermittelt werden.
Die Jahresarbeitszahl ist projektspezifisch!</t>
        </r>
      </text>
    </comment>
    <comment ref="F10" authorId="2">
      <text>
        <r>
          <rPr>
            <sz val="8"/>
            <rFont val="Tahoma"/>
            <family val="2"/>
          </rPr>
          <t>Achtung!
Die Jahresarbeitszahl kann über den "JAZ Rechner" auf www.waermepumpe.de ermittelt werden.
Die Jahresarbeitszahl ist projektspezifisch!</t>
        </r>
      </text>
    </comment>
    <comment ref="B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B20" authorId="2">
      <text>
        <r>
          <rPr>
            <sz val="8"/>
            <rFont val="Tahoma"/>
            <family val="2"/>
          </rPr>
          <t>Die CO2 Emission bei Strom sinkt derzeit, durch den vermehrten Einsatz von Regenerativen Erzeugungsanlagen. Aktueller Wert ist geschätzt.</t>
        </r>
      </text>
    </comment>
    <comment ref="B61" authorId="0">
      <text>
        <r>
          <rPr>
            <b/>
            <sz val="8"/>
            <rFont val="Tahoma"/>
            <family val="2"/>
          </rPr>
          <t>Formel berücksichtigt: Wirkungsgrad = Jahresnutzungsgrad des Kessels</t>
        </r>
      </text>
    </comment>
    <comment ref="B3" authorId="3">
      <text>
        <r>
          <rPr>
            <b/>
            <sz val="9"/>
            <rFont val="Segoe UI"/>
            <family val="2"/>
          </rPr>
          <t>Achtung!!
Viele Stromanbieter bieten einen Wärmepumpentarif an. In dem Zusammenhang muss geprüft werden, ob die Einbindung des selbst produzierten Stromes (z.B. durch eine Photovoltaik-Anlage) möglich ist.</t>
        </r>
      </text>
    </comment>
    <comment ref="B26" authorId="3">
      <text>
        <r>
          <rPr>
            <b/>
            <sz val="9"/>
            <rFont val="Segoe UI"/>
            <family val="2"/>
          </rPr>
          <t>40 Euro pro kW
monovalent 1500 Euro (bis 37,5 kW)
andere WP 1300 Euro 
Förderung im Altbau bei JAZ =&gt;3,5
Förderung im Neubau bei JAZ =&gt; 4,5 (entspricht den Kriterien der Innovationsförderung)
Achtung, Stand 06 / 2015, aktuelle BAFA Bedingungen beachten
Alle Angaben ohne Gewähr</t>
        </r>
      </text>
    </comment>
    <comment ref="B27" authorId="3">
      <text>
        <r>
          <rPr>
            <b/>
            <sz val="9"/>
            <rFont val="Segoe UI"/>
            <family val="2"/>
          </rPr>
          <t>Lastmanagement-Bonus 500 Euro
Innovationsförderung 0,5 * Basisförderung bei JAZ &gt; 4,5
Kombinationsbonus 500 Euro (Solarthermische Anlage)
Gebäudeeffizienzbonus 0,5 x Basis- oder Innovationsförderung (Altbau muss die Anforderung eines KfW-Effizienzhaus 55 erfüllen). 
Optimierungsmaßnahmen (10 % der Nettoinvestition, maximal 50 % der Basisförderung)
Im Neubau kann zusätzlich der Lastmanagement-Bonus in Anspruch genommen werden, alle anderen Variaten sind nur für den Altbau gültig.
Achtung, Stand 06 / 2015, aktuelle BAFA Bedingungen beachten
Alle Angaben ohne Gewähr</t>
        </r>
      </text>
    </comment>
    <comment ref="F26" authorId="3">
      <text>
        <r>
          <rPr>
            <b/>
            <sz val="9"/>
            <rFont val="Segoe UI"/>
            <family val="2"/>
          </rPr>
          <t>100 Euro pro kW
Sole/Wasser mit Erdsonde mindestens 4.500 Euro
Sole/Wasser mit Flächenkolleketor mindestens 4.000 Euro
Förderung im Altbau bei JAZ =&gt;3,8 für Wohngebäude und für Nichtwohngebäude (nur Raumheizung) JAZ =&gt;4,0
Förderung im Neubau bei JAZ =&gt; 4,5 (entspricht den Kriterien der Innovationsförderung)
Achtung, Stand 06 / 2015, aktuelle BAFA Bedingungen beachten
Alle Angaben ohne Gewähr</t>
        </r>
      </text>
    </comment>
    <comment ref="F27" authorId="3">
      <text>
        <r>
          <rPr>
            <b/>
            <sz val="9"/>
            <rFont val="Segoe UI"/>
            <family val="2"/>
          </rPr>
          <t>Lastmanagement-Bonus 500 Euro
Innovationsförderung 0,5 * Basisförderung bei JAZ &gt; 4,5
Kombinationsbonus jeweils 500 Euro (Solarkollektoranlage, PVT-Kollektoren, Anschluss an ein Wärmenetz)
Gebäudeeffizienzbonus 0,5 x Basis- oder Innovationsförderung (Altbau muss die Anforderung eines KfW-Effizienzhaus 55 erfüllen). 
Optimierungsmaßnahmen (10 % der Nettoinvestition, maximal 50 % der Basisförderung)
Im Neubau kann zusätzlich der Lastmanagement-Bonus in Anspruch genommen werden, alle anderen Variaten sind nur für den Altbau gültig.
Achtung, Stand 06 / 2015, aktuelle BAFA Bedingungen beachten
Alle Angaben ohne Gewähr</t>
        </r>
      </text>
    </comment>
    <comment ref="L9" authorId="3">
      <text>
        <r>
          <rPr>
            <b/>
            <sz val="9"/>
            <rFont val="Segoe UI"/>
            <family val="2"/>
          </rPr>
          <t>Wert Abhängig von Anlage (mit / ohne Puffer, mit /ohne Solaranlage, Nutzung der Anlage in den Sommermonaten 
etc.)
Stromverbrauch entsteht hauptsächlich durch die Zündung der Pellets.</t>
        </r>
      </text>
    </comment>
    <comment ref="X3" authorId="2">
      <text>
        <r>
          <rPr>
            <b/>
            <sz val="8"/>
            <rFont val="Tahoma"/>
            <family val="2"/>
          </rPr>
          <t>Fragen Sie Ihren lokalen Anbieter</t>
        </r>
        <r>
          <rPr>
            <sz val="8"/>
            <rFont val="Tahoma"/>
            <family val="2"/>
          </rPr>
          <t xml:space="preserve">
</t>
        </r>
      </text>
    </comment>
    <comment ref="X7" authorId="2">
      <text>
        <r>
          <rPr>
            <b/>
            <sz val="8"/>
            <rFont val="Tahoma"/>
            <family val="2"/>
          </rPr>
          <t>Miete für Flüssigkeitstank</t>
        </r>
      </text>
    </comment>
    <comment ref="X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X20" authorId="2">
      <text>
        <r>
          <rPr>
            <b/>
            <sz val="8"/>
            <rFont val="Tahoma"/>
            <family val="2"/>
          </rPr>
          <t>Quelle: www.co2-emissionen-vergleichen.de 30.12.2009</t>
        </r>
      </text>
    </comment>
    <comment ref="F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B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D3" authorId="3">
      <text>
        <r>
          <rPr>
            <b/>
            <sz val="9"/>
            <rFont val="Segoe UI"/>
            <family val="2"/>
          </rPr>
          <t xml:space="preserve">Achtung!!
Viele Stromanbieter bieten einen Wärmepumpentarif an. </t>
        </r>
      </text>
    </comment>
    <comment ref="D10" authorId="2">
      <text>
        <r>
          <rPr>
            <b/>
            <sz val="8"/>
            <rFont val="Tahoma"/>
            <family val="2"/>
          </rPr>
          <t>Achtung!
Die Jahresarbeitszahl kann über den "JAZ Rechner" auf www.waermepumpe.de ermittelt werden.
Die Jahresarbeitszahl ist projektspezifisch!</t>
        </r>
      </text>
    </comment>
    <comment ref="H10" authorId="2">
      <text>
        <r>
          <rPr>
            <sz val="8"/>
            <rFont val="Tahoma"/>
            <family val="2"/>
          </rPr>
          <t>Achtung!
Die Jahresarbeitszahl kann über den "JAZ Rechner" auf www.waermepumpe.de ermittelt werden.
Die Jahresarbeitszahl ist projektspezifisch!</t>
        </r>
      </text>
    </comment>
    <comment ref="D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H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H26" authorId="3">
      <text>
        <r>
          <rPr>
            <b/>
            <sz val="9"/>
            <rFont val="Segoe UI"/>
            <family val="2"/>
          </rPr>
          <t xml:space="preserve">Luft/Wasser 1300 Euro
Sole/Wasser 4000 Euro
Förderbedingungen beachten
</t>
        </r>
      </text>
    </comment>
    <comment ref="L31" authorId="3">
      <text>
        <r>
          <rPr>
            <b/>
            <sz val="9"/>
            <rFont val="Segoe UI"/>
            <family val="2"/>
          </rPr>
          <t>neben Wartungskosten, bitte auch den Stand By Stromverbrauch der Heizungsanlage mit einkalkulieren!</t>
        </r>
      </text>
    </comment>
    <comment ref="B22" authorId="2">
      <text>
        <r>
          <rPr>
            <sz val="8"/>
            <rFont val="Tahoma"/>
            <family val="2"/>
          </rPr>
          <t>ACHTUNG!
Individuelle CO2 Emission der Eigenen Stromerzeugungs Anlage. Für den Wert ist eine eigene individuelle Berechnung notwendig.</t>
        </r>
      </text>
    </comment>
    <comment ref="F20" authorId="2">
      <text>
        <r>
          <rPr>
            <sz val="8"/>
            <rFont val="Tahoma"/>
            <family val="2"/>
          </rPr>
          <t>Die CO2 Emission bei Strom sinkt derzeit, durch den vermehrten Einsatz von Regenerativen Erzeugungsanlagen. Aktueller Wert ist geschätzt.</t>
        </r>
      </text>
    </comment>
    <comment ref="F22" authorId="2">
      <text>
        <r>
          <rPr>
            <sz val="8"/>
            <rFont val="Tahoma"/>
            <family val="2"/>
          </rPr>
          <t>Individuelle CO2 Emission der Eigenen Anlage</t>
        </r>
      </text>
    </comment>
    <comment ref="AB20" authorId="2">
      <text>
        <r>
          <rPr>
            <sz val="8"/>
            <rFont val="Tahoma"/>
            <family val="2"/>
          </rPr>
          <t>Die CO2 Emission bei Strom sinkt derzeit, durch den vermehrten Einsatz von Regenerativen Erzeugungsanlagen. Aktueller Wert ist geschätzt.</t>
        </r>
      </text>
    </comment>
    <comment ref="AB22" authorId="2">
      <text>
        <r>
          <rPr>
            <sz val="8"/>
            <rFont val="Tahoma"/>
            <family val="2"/>
          </rPr>
          <t>Individuelle CO2 Emission der Eigenen Anlage</t>
        </r>
      </text>
    </comment>
    <comment ref="N31" authorId="3">
      <text>
        <r>
          <rPr>
            <b/>
            <sz val="9"/>
            <rFont val="Segoe UI"/>
            <family val="2"/>
          </rPr>
          <t>neben Wartungskosten, bitte auch den Stand By Stromverbrauch der Heizungsanlage mit einkalkulieren!</t>
        </r>
      </text>
    </comment>
    <comment ref="T31" authorId="3">
      <text>
        <r>
          <rPr>
            <b/>
            <sz val="9"/>
            <rFont val="Segoe UI"/>
            <family val="2"/>
          </rPr>
          <t>neben Wartungskosten, bitte auch den Stand By Stromverbrauch der Heizungsanlage mit einkalkulieren!</t>
        </r>
      </text>
    </comment>
    <comment ref="X31" authorId="3">
      <text>
        <r>
          <rPr>
            <b/>
            <sz val="9"/>
            <rFont val="Segoe UI"/>
            <family val="2"/>
          </rPr>
          <t>neben Wartungskosten, bitte auch den Stand By Stromverbrauch der Heizungsanlage mit einkalkulieren!</t>
        </r>
      </text>
    </comment>
    <comment ref="B29" authorId="3">
      <text>
        <r>
          <rPr>
            <b/>
            <sz val="8"/>
            <rFont val="Arial"/>
            <family val="2"/>
          </rPr>
          <t>Restwertanalyse / Risiko einer Ersatzinvestion fließt nicht in die Gesamtkostenentwicklung mit ein. Ist aber aus Gründen der Transparenz, ein interessanter Parameter für die Gesamtbewertung.</t>
        </r>
      </text>
    </comment>
    <comment ref="F29" authorId="3">
      <text>
        <r>
          <rPr>
            <b/>
            <sz val="8"/>
            <rFont val="Arial"/>
            <family val="2"/>
          </rPr>
          <t>Restwertanalyse / Risiko einer Ersatzinvestion fließt nicht in die Gesamtkostenentwicklung mit ein. Ist aber aus Gründen der Transparenz, ein interessanter Parameter.</t>
        </r>
      </text>
    </comment>
    <comment ref="L29" authorId="3">
      <text>
        <r>
          <rPr>
            <b/>
            <sz val="8"/>
            <rFont val="Arial"/>
            <family val="2"/>
          </rPr>
          <t>Restwertanalyse / Risiko einer Ersatzinvestion fließt nicht in die Gesamtkostenentwicklung mit ein. Ist aber aus Gründen der Transparenz, ein interessanter Parameter.</t>
        </r>
      </text>
    </comment>
    <comment ref="N29" authorId="3">
      <text>
        <r>
          <rPr>
            <b/>
            <sz val="8"/>
            <rFont val="Arial"/>
            <family val="2"/>
          </rPr>
          <t>Restwertanalyse / Risiko einer Ersatzinvestion fließt nicht in die Gesamtkostenentwicklung mit ein. Ist aber aus Gründen der Transparenz, ein interessanter Parameter.</t>
        </r>
      </text>
    </comment>
    <comment ref="T29" authorId="3">
      <text>
        <r>
          <rPr>
            <b/>
            <sz val="8"/>
            <rFont val="Arial"/>
            <family val="2"/>
          </rPr>
          <t>Restwertanalyse / Risiko einer Ersatzinvestion fließt nicht in die Gesamtkostenentwicklung mit ein. Ist aber aus Gründen der Transparenz, ein interessanter Parameter.</t>
        </r>
      </text>
    </comment>
    <comment ref="X29" authorId="3">
      <text>
        <r>
          <rPr>
            <b/>
            <sz val="8"/>
            <rFont val="Arial"/>
            <family val="2"/>
          </rPr>
          <t>Restwertanalyse / Risiko einer Ersatzinvestion fließt nicht in die Gesamtkostenentwicklung mit ein. Ist aber aus Gründen der Transparenz, ein interessanter Parameter.</t>
        </r>
      </text>
    </comment>
    <comment ref="AB29" authorId="3">
      <text>
        <r>
          <rPr>
            <b/>
            <sz val="8"/>
            <rFont val="Arial"/>
            <family val="2"/>
          </rPr>
          <t>Restwertanalyse / Risiko einer Ersatzinvestion fließt nicht in die Gesamtkostenentwicklung mit ein. Ist aber aus Gründen der Transparenz, ein interessanter Parameter.</t>
        </r>
      </text>
    </comment>
    <comment ref="D29" authorId="3">
      <text>
        <r>
          <rPr>
            <b/>
            <sz val="8"/>
            <rFont val="Arial"/>
            <family val="2"/>
          </rPr>
          <t>Restwertanalyse / Risiko einer Ersatzinvestion fließt nicht in die Gesamtkostenentwicklung mit ein. Ist aber aus Gründen der Transparenz, ein interessanter Parameter.</t>
        </r>
      </text>
    </comment>
    <comment ref="H29" authorId="3">
      <text>
        <r>
          <rPr>
            <b/>
            <sz val="8"/>
            <rFont val="Arial"/>
            <family val="2"/>
          </rPr>
          <t>Restwertanalyse / Risiko einer Ersatzinvestion fließt nicht in die Gesamtkostenentwicklung mit ein. Ist aber aus Gründen der Transparenz, ein interessanter Parameter.</t>
        </r>
      </text>
    </comment>
    <comment ref="B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F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L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N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T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X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AB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D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H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X61" authorId="3">
      <text>
        <r>
          <rPr>
            <b/>
            <sz val="9"/>
            <rFont val="Segoe UI"/>
            <family val="2"/>
          </rPr>
          <t>Formel berücksichtigt: Wirkungsgrad = Jahresnutzungsgrad des Kessels
Strombezug aus dem öffentlichen Netz</t>
        </r>
      </text>
    </comment>
    <comment ref="D20" authorId="2">
      <text>
        <r>
          <rPr>
            <sz val="8"/>
            <rFont val="Tahoma"/>
            <family val="2"/>
          </rPr>
          <t>Die CO2 Emission bei Strom sinkt derzeit, durch den vermehrten Einsatz von Regenerativen Erzeugungsanlagen. Aktueller Wert ist geschätzt.</t>
        </r>
      </text>
    </comment>
    <comment ref="D22" authorId="2">
      <text>
        <r>
          <rPr>
            <sz val="8"/>
            <rFont val="Tahoma"/>
            <family val="2"/>
          </rPr>
          <t>Individuelle CO2 Emission der Eigenen Anlage</t>
        </r>
      </text>
    </comment>
    <comment ref="H20" authorId="2">
      <text>
        <r>
          <rPr>
            <sz val="8"/>
            <rFont val="Tahoma"/>
            <family val="2"/>
          </rPr>
          <t>Die CO2 Emission bei Strom sinkt derzeit, durch den vermehrten Einsatz von Regenerativen Erzeugungsanlagen. Aktueller Wert ist geschätzt.</t>
        </r>
      </text>
    </comment>
    <comment ref="H22" authorId="2">
      <text>
        <r>
          <rPr>
            <sz val="8"/>
            <rFont val="Tahoma"/>
            <family val="2"/>
          </rPr>
          <t>Individuelle CO2 Emission der Eigenen Anlage</t>
        </r>
      </text>
    </comment>
    <comment ref="AH3" authorId="3">
      <text>
        <r>
          <rPr>
            <b/>
            <sz val="9"/>
            <rFont val="Segoe UI"/>
            <family val="2"/>
          </rPr>
          <t xml:space="preserve">Achtung!!
Viele Stromanbieter bieten einen Wärmepumpentarif an. </t>
        </r>
      </text>
    </comment>
    <comment ref="AH10" authorId="2">
      <text>
        <r>
          <rPr>
            <b/>
            <sz val="8"/>
            <rFont val="Tahoma"/>
            <family val="2"/>
          </rPr>
          <t>Achtung!
Die Jahresarbeitszahl kann über den "JAZ Rechner" auf www.waermepumpe.de ermittelt werden.
Die Jahresarbeitszahl ist projektspezifisch!</t>
        </r>
        <r>
          <rPr>
            <sz val="8"/>
            <rFont val="Tahoma"/>
            <family val="2"/>
          </rPr>
          <t xml:space="preserve">
</t>
        </r>
      </text>
    </comment>
    <comment ref="AJ10" authorId="2">
      <text>
        <r>
          <rPr>
            <b/>
            <sz val="8"/>
            <rFont val="Tahoma"/>
            <family val="2"/>
          </rPr>
          <t>Achtung!
Die Jahresarbeitszahl kann über den "JAZ Rechner" auf www.waermepumpe.de ermittelt werden.
Die Jahresarbeitszahl ist projektspezifisch!</t>
        </r>
        <r>
          <rPr>
            <sz val="8"/>
            <rFont val="Tahoma"/>
            <family val="2"/>
          </rPr>
          <t xml:space="preserve">
</t>
        </r>
      </text>
    </comment>
    <comment ref="AH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J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AH20" authorId="2">
      <text>
        <r>
          <rPr>
            <sz val="8"/>
            <rFont val="Tahoma"/>
            <family val="2"/>
          </rPr>
          <t>Die CO2 Emission bei Strom sinkt derzeit, durch den vermehrten Einsatz von Regenerativen Erzeugungsanlagen. Aktueller Wert ist geschätzt.</t>
        </r>
      </text>
    </comment>
    <comment ref="AJ20" authorId="2">
      <text>
        <r>
          <rPr>
            <sz val="8"/>
            <rFont val="Tahoma"/>
            <family val="2"/>
          </rPr>
          <t>Die CO2 Emission bei Strom sinkt derzeit, durch den vermehrten Einsatz von Regenerativen Erzeugungsanlagen. Aktueller Wert ist geschätzt.</t>
        </r>
      </text>
    </comment>
    <comment ref="AH22" authorId="2">
      <text>
        <r>
          <rPr>
            <sz val="8"/>
            <rFont val="Tahoma"/>
            <family val="2"/>
          </rPr>
          <t>Individuelle CO2 Emission der Eigenen Anlage</t>
        </r>
      </text>
    </comment>
    <comment ref="AJ22" authorId="2">
      <text>
        <r>
          <rPr>
            <sz val="8"/>
            <rFont val="Tahoma"/>
            <family val="2"/>
          </rPr>
          <t>Individuelle CO2 Emission der Eigenen Anlage</t>
        </r>
      </text>
    </comment>
    <comment ref="AH29" authorId="3">
      <text>
        <r>
          <rPr>
            <b/>
            <sz val="8"/>
            <rFont val="Arial"/>
            <family val="2"/>
          </rPr>
          <t>Restwertanalyse / Risiko einer Ersatzinvestion fließt nicht in die Gesamtkostenentwicklung mit ein. Ist aber aus Gründen der Transparenz, ein interessanter Parameter.</t>
        </r>
      </text>
    </comment>
    <comment ref="AJ29" authorId="3">
      <text>
        <r>
          <rPr>
            <b/>
            <sz val="8"/>
            <rFont val="Arial"/>
            <family val="2"/>
          </rPr>
          <t>Restwertanalyse / Risiko einer Ersatzinvestion fließt nicht in die Gesamtkostenentwicklung mit ein. Ist aber aus Gründen der Transparenz, ein interessanter Parameter.</t>
        </r>
      </text>
    </comment>
    <comment ref="AH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AJ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AH61" authorId="0">
      <text>
        <r>
          <rPr>
            <b/>
            <sz val="8"/>
            <rFont val="Tahoma"/>
            <family val="2"/>
          </rPr>
          <t>Formel berücksichtigt: Wirkungsgrad = Jahresnutzungsgrad des Kessels</t>
        </r>
      </text>
    </comment>
    <comment ref="AJ61" authorId="0">
      <text>
        <r>
          <rPr>
            <b/>
            <sz val="8"/>
            <rFont val="Tahoma"/>
            <family val="2"/>
          </rPr>
          <t>Formel berücksichtigt: Wirkungsgrad = Jahresnutzungsgrad des Kessels</t>
        </r>
      </text>
    </comment>
    <comment ref="F3" authorId="3">
      <text>
        <r>
          <rPr>
            <b/>
            <sz val="9"/>
            <rFont val="Segoe UI"/>
            <family val="2"/>
          </rPr>
          <t>Achtung!!
Viele Stromanbieter bieten einen Wärmepumpentarif an. In dem Zusammenhang muss geprüft werden, ob die Einbindung des selbst produzierten Stromes (z.B. durch eine Photovoltaik-Anlage) möglich ist.</t>
        </r>
      </text>
    </comment>
    <comment ref="L26" authorId="3">
      <text>
        <r>
          <rPr>
            <b/>
            <sz val="9"/>
            <rFont val="Segoe UI"/>
            <family val="2"/>
          </rPr>
          <t>80 Euro pro kW
Pelletofen mit Wassertasche mindestens 2.000 Euro
Pelletkessel mindestens 3.000 Euro
Pelletkessel mit Pufferspeicher (30 Liter pro kW) 3.500 Euro
Achtung, Stand 06 / 2015, aktuelle BAFA Bedingungen beachten
Alle Angaben ohne Gewähr</t>
        </r>
      </text>
    </comment>
    <comment ref="L27" authorId="3">
      <text>
        <r>
          <rPr>
            <b/>
            <sz val="9"/>
            <rFont val="Segoe UI"/>
            <family val="2"/>
          </rPr>
          <t>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Pellet / Solarthermie, die Innovationsförderung in Anspruch genommen werden, alle anderen Variaten sind nur für den Altbau gültig.
Achtung, Stand 06 / 2015, aktuelle BAFA Bedingungen beachten
Alle Angaben ohne Gewähr</t>
        </r>
        <r>
          <rPr>
            <sz val="9"/>
            <rFont val="Segoe UI"/>
            <family val="2"/>
          </rPr>
          <t xml:space="preserve">
</t>
        </r>
      </text>
    </comment>
    <comment ref="N27"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T27"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X27"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D26" authorId="3">
      <text>
        <r>
          <rPr>
            <b/>
            <sz val="9"/>
            <rFont val="Segoe UI"/>
            <family val="2"/>
          </rPr>
          <t>40 Euro pro kW
monovalent 1500 Euro (bis 37,5 kW)
andere WP 1300 Euro 
Förderung im Altbau bei JAZ =&gt;3,5
Förderung im Neubau bei JAZ =&gt; 4,5 (entspricht den Kriterien der Innovationsförderung)
Achtung, Stand 06 / 2015, aktuelle BAFA Bedingungen beachten
Alle Angaben ohne Gewähr</t>
        </r>
      </text>
    </comment>
    <comment ref="D27" authorId="3">
      <text>
        <r>
          <rPr>
            <b/>
            <sz val="9"/>
            <rFont val="Segoe UI"/>
            <family val="2"/>
          </rPr>
          <t>Lastmanagement-Bonus 500 Euro
Innovationsförderung 0,5 * Basisförderung bei JAZ &gt; 4,5
Kombinationsbonus 500 Euro (Solarthermische Anlage)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H27" authorId="3">
      <text>
        <r>
          <rPr>
            <b/>
            <sz val="9"/>
            <rFont val="Segoe UI"/>
            <family val="2"/>
          </rPr>
          <t>Lastmanagement-Bonus 500 Euro
Innovationsförderung 0,5 * Basisförderung bei JAZ &gt; 4,5
Kombinationsbonus jeweils 500 Euro (Solarkollektoranlage, PVT-Kollektoren,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AH27" authorId="3">
      <text>
        <r>
          <rPr>
            <b/>
            <sz val="9"/>
            <rFont val="Segoe UI"/>
            <family val="2"/>
          </rPr>
          <t>Lastmanagement-Bonus 500 Euro
Innovationsförderung 0,5 * Basisförderung bei JAZ &gt; 4,5
Kombinationsbonus jeweils 500 Euro (Solarkollektoranlage, PVT-Kollektoren,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AJ27" authorId="3">
      <text>
        <r>
          <rPr>
            <b/>
            <sz val="9"/>
            <rFont val="Segoe UI"/>
            <family val="2"/>
          </rPr>
          <t>Lastmanagement-Bonus 500 Euro
Innovationsförderung 0,5 * Basisförderung bei JAZ &gt; 4,5
Kombinationsbonus jeweils 500 Euro (Solarkollektoranlage, PVT-Kollektoren,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zusätzlich der Lastmanagement-Bonus, Kombinations-Bonus und die Förderung Solarthermie Basis in Anspruch genommen werden, alle anderen Variaten sind nur für den Altbau gültig.
Achtung, Stand 06 / 2015, aktuelle BAFA Bedingungen beachten
Alle Angaben ohne Gewähr</t>
        </r>
      </text>
    </comment>
    <comment ref="AH26" authorId="3">
      <text>
        <r>
          <rPr>
            <b/>
            <sz val="9"/>
            <rFont val="Segoe UI"/>
            <family val="2"/>
          </rPr>
          <t>Luft / Wasser Wärmepumpe
40 Euro pro kW
monovalent 1500 Euro (bis 37,5 kW)
andere WP 1300 Euro 
Förderung im Altbau bei JAZ =&gt;3,5
Förderung im Neubau bei JAZ =&gt; 4,5 (entspricht den Kriterien der Innovationsförderung)
Achtung, Stand 06 / 2015, aktuelle BAFA Bedingungen beachten
Alle Angaben ohne Gewähr</t>
        </r>
      </text>
    </comment>
    <comment ref="AJ26" authorId="3">
      <text>
        <r>
          <rPr>
            <b/>
            <sz val="9"/>
            <rFont val="Segoe UI"/>
            <family val="2"/>
          </rPr>
          <t>100 Euro pro kW
Sole/Wasser mit Erdsonde mindestens 4.500 Euro
Sole/Wasser mit Flächenkolleketor mindestens 4.000 Euro
Förderung im Altbau bei JAZ =&gt;3,8 für Wohngebäude und für Nichtwohngebäude (nur Raumheizung) JAZ =&gt;4,0
Förderung im Neubau bei JAZ =&gt; 4,5 (entspricht den Kriterien der Innovationsförderung)
Achtung, Stand 06 / 2015, aktuelle BAFA Bedingungen beachten
Alle Angaben ohne Gewähr</t>
        </r>
      </text>
    </comment>
    <comment ref="F25" authorId="3">
      <text>
        <r>
          <rPr>
            <b/>
            <sz val="9"/>
            <rFont val="Segoe UI"/>
            <family val="2"/>
          </rPr>
          <t>Investitionskosten= 
Sole- oder Brunnenanlage und Wärmepumpe</t>
        </r>
      </text>
    </comment>
    <comment ref="L25" authorId="3">
      <text>
        <r>
          <rPr>
            <b/>
            <sz val="9"/>
            <rFont val="Segoe UI"/>
            <family val="2"/>
          </rPr>
          <t>Bitte die Investitionskosten vom Pelletheizsystem und des Bivalenten Heizsystems berücksichtigen.</t>
        </r>
      </text>
    </comment>
    <comment ref="N25" authorId="3">
      <text>
        <r>
          <rPr>
            <b/>
            <sz val="9"/>
            <rFont val="Segoe UI"/>
            <family val="2"/>
          </rPr>
          <t>Investitionskosten= Ölkessel + Öltanks</t>
        </r>
      </text>
    </comment>
    <comment ref="T25" authorId="3">
      <text>
        <r>
          <rPr>
            <b/>
            <sz val="9"/>
            <rFont val="Segoe UI"/>
            <family val="2"/>
          </rPr>
          <t>Bitte die Investitionskosten vom Gasheizsystem und des Bivalenten Heizsystems berücksichtigen.</t>
        </r>
      </text>
    </comment>
    <comment ref="X25" authorId="3">
      <text>
        <r>
          <rPr>
            <b/>
            <sz val="9"/>
            <rFont val="Segoe UI"/>
            <family val="2"/>
          </rPr>
          <t>Investitionskosten=Gaskessel + Flüssigkeitsgastank (oder alternativ entsprechende Monatsmieten ansetzten) + Bivalentes Heizsystem</t>
        </r>
      </text>
    </comment>
    <comment ref="D25" authorId="3">
      <text>
        <r>
          <rPr>
            <b/>
            <sz val="9"/>
            <rFont val="Segoe UI"/>
            <family val="2"/>
          </rPr>
          <t>Bitte die Investitionskosten des Bivalenten Heizsystems mit berücksichtigen.</t>
        </r>
      </text>
    </comment>
    <comment ref="H25" authorId="3">
      <text>
        <r>
          <rPr>
            <b/>
            <sz val="9"/>
            <rFont val="Segoe UI"/>
            <family val="2"/>
          </rPr>
          <t>Investitionskosten=Sole- oder Brunnenanlage mit Wärmepumpe und Bivalentes Heizsystem</t>
        </r>
      </text>
    </comment>
    <comment ref="J3" authorId="2">
      <text>
        <r>
          <rPr>
            <b/>
            <sz val="8"/>
            <rFont val="Tahoma"/>
            <family val="2"/>
          </rPr>
          <t>individuell einzugeben, als Infoquelle n
utzbar: www.carmen-ev.de</t>
        </r>
        <r>
          <rPr>
            <sz val="8"/>
            <rFont val="Tahoma"/>
            <family val="2"/>
          </rPr>
          <t xml:space="preserve">
</t>
        </r>
      </text>
    </comment>
    <comment ref="J9" authorId="3">
      <text>
        <r>
          <rPr>
            <b/>
            <sz val="9"/>
            <rFont val="Segoe UI"/>
            <family val="2"/>
          </rPr>
          <t>Wert Abhängig von Anlage (mit / ohne Puffer, mit /ohne Solaranlage, Nutzung der Anlage in den Sommermonaten 
etc.)
Stromverbrauch entsteht hauptsächlich durch die Zündung der Pellets.</t>
        </r>
      </text>
    </comment>
    <comment ref="J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J20" authorId="2">
      <text>
        <r>
          <rPr>
            <b/>
            <sz val="8"/>
            <rFont val="Tahoma"/>
            <family val="2"/>
          </rPr>
          <t>Quelle: www.co2-emissionen-vergleichen.de 30.12.2009</t>
        </r>
        <r>
          <rPr>
            <sz val="8"/>
            <rFont val="Tahoma"/>
            <family val="2"/>
          </rPr>
          <t xml:space="preserve">
</t>
        </r>
      </text>
    </comment>
    <comment ref="J25" authorId="3">
      <text>
        <r>
          <rPr>
            <b/>
            <sz val="9"/>
            <rFont val="Segoe UI"/>
            <family val="2"/>
          </rPr>
          <t>Investitionskosten=
Pelletkessel + Pelletlagerraum + Pelletzuführungssystem</t>
        </r>
      </text>
    </comment>
    <comment ref="J26" authorId="3">
      <text>
        <r>
          <rPr>
            <b/>
            <sz val="9"/>
            <rFont val="Segoe UI"/>
            <family val="2"/>
          </rPr>
          <t>80 Euro pro kW
Pelletofen mit Wassertasche mindestens 2.000 Euro
Pelletkessel mindestens 3.000 Euro
Pelletkessel mit Pufferspeicher (30 Liter pro kW) 3.500 Euro
Achtung, Stand 06 / 2015, aktuelle BAFA Bedingungen beachten
Alle Angaben ohne Gewähr</t>
        </r>
      </text>
    </comment>
    <comment ref="J27" authorId="3">
      <text>
        <r>
          <rPr>
            <b/>
            <sz val="9"/>
            <rFont val="Segoe UI"/>
            <family val="2"/>
          </rPr>
          <t>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Pellet / Solarthermie, die Innovationsförderung in Anspruch genommen werden, alle anderen Variaten sind nur für den Altbau gültig.
Achtung, Stand 06 / 2015, aktuelle BAFA Bedingungen beachten
Alle Angaben ohne Gewähr</t>
        </r>
        <r>
          <rPr>
            <sz val="9"/>
            <rFont val="Segoe UI"/>
            <family val="2"/>
          </rPr>
          <t xml:space="preserve">
</t>
        </r>
      </text>
    </comment>
    <comment ref="J29" authorId="3">
      <text>
        <r>
          <rPr>
            <b/>
            <sz val="8"/>
            <rFont val="Arial"/>
            <family val="2"/>
          </rPr>
          <t>Restwertanalyse / Risiko einer Ersatzinvestion fließt nicht in die Gesamtkostenentwicklung mit ein. Ist aber aus Gründen der Transparenz, ein interessanter Parameter.</t>
        </r>
      </text>
    </comment>
    <comment ref="J31" authorId="3">
      <text>
        <r>
          <rPr>
            <b/>
            <sz val="9"/>
            <rFont val="Segoe UI"/>
            <family val="2"/>
          </rPr>
          <t>neben Wartungskosten, bitte auch den Stand By Stromverbrauch der Heizungsanlage mit einkalkulieren!</t>
        </r>
      </text>
    </comment>
    <comment ref="J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J61" authorId="0">
      <text>
        <r>
          <rPr>
            <b/>
            <sz val="8"/>
            <rFont val="Tahoma"/>
            <family val="2"/>
          </rPr>
          <t xml:space="preserve">Formel berücksichtigt: Wirkungsgrad = Jahresnutzungsgrad des Kessels;
Strombezug des Kessels aus dem öffentlichen Netz
</t>
        </r>
      </text>
    </comment>
    <comment ref="R25" authorId="3">
      <text>
        <r>
          <rPr>
            <b/>
            <sz val="9"/>
            <rFont val="Segoe UI"/>
            <family val="2"/>
          </rPr>
          <t>Bitte die Investitionskosten vom Gasheizsystem und des Bivalenten Heizsystems berücksichtigen.</t>
        </r>
      </text>
    </comment>
    <comment ref="R27"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R29" authorId="3">
      <text>
        <r>
          <rPr>
            <b/>
            <sz val="8"/>
            <rFont val="Arial"/>
            <family val="2"/>
          </rPr>
          <t>Restwertanalyse / Risiko einer Ersatzinvestion fließt nicht in die Gesamtkostenentwicklung mit ein. Ist aber aus Gründen der Transparenz, ein interessanter Parameter.</t>
        </r>
      </text>
    </comment>
    <comment ref="R31" authorId="3">
      <text>
        <r>
          <rPr>
            <b/>
            <sz val="9"/>
            <rFont val="Segoe UI"/>
            <family val="2"/>
          </rPr>
          <t>neben Wartungskosten, bitte auch den Stand By Stromverbrauch der Heizungsanlage mit einkalkulieren!</t>
        </r>
      </text>
    </comment>
    <comment ref="R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R60" authorId="0">
      <text>
        <r>
          <rPr>
            <sz val="8"/>
            <rFont val="Tahoma"/>
            <family val="2"/>
          </rPr>
          <t>Rentabilität wird früher erreicht, wenn man die Entsorgungskosten der Öl-Tanks mit einbezieht.</t>
        </r>
      </text>
    </comment>
    <comment ref="R61" authorId="0">
      <text>
        <r>
          <rPr>
            <b/>
            <sz val="8"/>
            <rFont val="Tahoma"/>
            <family val="2"/>
          </rPr>
          <t>Formel berücksichtigt: Wirkungsgrad = Jahresnutzungsgrad des Kessels
Strombezug aus dem öffentlichen Netz</t>
        </r>
      </text>
    </comment>
    <comment ref="P3" authorId="2">
      <text>
        <r>
          <rPr>
            <b/>
            <sz val="8"/>
            <rFont val="Tahoma"/>
            <family val="2"/>
          </rPr>
          <t>Aktuelle Angaben zum Heizölpreis, siehe zum Beispiel unter www.comoil.de</t>
        </r>
      </text>
    </comment>
    <comment ref="P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P20" authorId="2">
      <text>
        <r>
          <rPr>
            <b/>
            <sz val="8"/>
            <rFont val="Tahoma"/>
            <family val="2"/>
          </rPr>
          <t>Quelle: www.co2-emissionen-vergleichen.de 30.12.2009</t>
        </r>
        <r>
          <rPr>
            <sz val="8"/>
            <rFont val="Tahoma"/>
            <family val="2"/>
          </rPr>
          <t xml:space="preserve">
</t>
        </r>
      </text>
    </comment>
    <comment ref="P25" authorId="3">
      <text>
        <r>
          <rPr>
            <b/>
            <sz val="9"/>
            <rFont val="Segoe UI"/>
            <family val="2"/>
          </rPr>
          <t>Investitionskosten=Ölkessel + Öltanks + Bivalentes Heizsystem</t>
        </r>
      </text>
    </comment>
    <comment ref="P27"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P29" authorId="3">
      <text>
        <r>
          <rPr>
            <b/>
            <sz val="8"/>
            <rFont val="Arial"/>
            <family val="2"/>
          </rPr>
          <t>Restwertanalyse / Risiko einer Ersatzinvestion fließt nicht in die Gesamtkostenentwicklung mit ein. Ist aber aus Gründen der Transparenz, ein interessanter Parameter.</t>
        </r>
      </text>
    </comment>
    <comment ref="P31" authorId="3">
      <text>
        <r>
          <rPr>
            <b/>
            <sz val="9"/>
            <rFont val="Segoe UI"/>
            <family val="2"/>
          </rPr>
          <t>neben Wartungskosten, bitte auch den Stand By Stromverbrauch der Heizungsanlage mit einkalkulieren!</t>
        </r>
      </text>
    </comment>
    <comment ref="P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P61" authorId="0">
      <text>
        <r>
          <rPr>
            <b/>
            <sz val="8"/>
            <rFont val="Tahoma"/>
            <family val="2"/>
          </rPr>
          <t xml:space="preserve">Formel berücksichtigt: Wirkungsgrad = Jahresnutzungsgrad des Kessels
Strombezug aus dem öffentlichen Netz
</t>
        </r>
      </text>
    </comment>
    <comment ref="V3" authorId="2">
      <text>
        <r>
          <rPr>
            <b/>
            <sz val="8"/>
            <rFont val="Tahoma"/>
            <family val="2"/>
          </rPr>
          <t>Fragen Sie Ihren lokalen Anbieter</t>
        </r>
        <r>
          <rPr>
            <sz val="8"/>
            <rFont val="Tahoma"/>
            <family val="2"/>
          </rPr>
          <t xml:space="preserve">
</t>
        </r>
      </text>
    </comment>
    <comment ref="V7" authorId="2">
      <text>
        <r>
          <rPr>
            <b/>
            <sz val="8"/>
            <rFont val="Tahoma"/>
            <family val="2"/>
          </rPr>
          <t>Miete für Flüssigkeitstank</t>
        </r>
      </text>
    </comment>
    <comment ref="V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V20" authorId="2">
      <text>
        <r>
          <rPr>
            <b/>
            <sz val="8"/>
            <rFont val="Tahoma"/>
            <family val="2"/>
          </rPr>
          <t>Quelle: www.co2-emissionen-vergleichen.de 30.12.2009</t>
        </r>
      </text>
    </comment>
    <comment ref="V25" authorId="3">
      <text>
        <r>
          <rPr>
            <b/>
            <sz val="9"/>
            <rFont val="Segoe UI"/>
            <family val="2"/>
          </rPr>
          <t>Investitionskosten=Gaskessel + Flüssigkeitsgastank (oder alternativ entsprechende Monatsmieten ansetzten)</t>
        </r>
      </text>
    </comment>
    <comment ref="V27" authorId="3">
      <text>
        <r>
          <rPr>
            <b/>
            <sz val="9"/>
            <rFont val="Segoe UI"/>
            <family val="2"/>
          </rPr>
          <t xml:space="preserve">Innovationsförderung 0,5 * Basisförderung (für Gebäude mit mehr als 3 Wohneinheiten, oder Gebäude mit Solarer Deckungsrate von über 50 % "Sonnenhäuser"
Kombinationsbonus 500 Euro (Solarkollektoranlage, oder Anschluss an ein Wärmenetz)
Solarthermie Basis:
500 Euro für WarmWasser Systeme oder 50 Euro pro m²
2000 Euro für Heizungsunterstützende Systeme oder 140 Euro pro m"
Gebäudeeffizienzbonus 0,5 x Basis- oder Innovationsförderung (Altbau muss die Anforderung eines KfW-Effizienzhaus 55 erfüllen). 
Optimierungsmaßnahmen (10 % der Nettoinvestition, maximal 50 % der Basisförderung)
Im Neubau kann neben der Basisförderung Solarthermie, die Innovationsförderung in Anspruch genommen werden, alle anderen Variaten sind nur für den Altbau gültig.
Achtung, Stand 06 / 2015, aktuelle BAFA Bedingungen beachten
Alle Angaben ohne Gewähr
</t>
        </r>
      </text>
    </comment>
    <comment ref="V29" authorId="3">
      <text>
        <r>
          <rPr>
            <b/>
            <sz val="8"/>
            <rFont val="Arial"/>
            <family val="2"/>
          </rPr>
          <t>Restwertanalyse / Risiko einer Ersatzinvestion fließt nicht in die Gesamtkostenentwicklung mit ein. Ist aber aus Gründen der Transparenz, ein interessanter Parameter.</t>
        </r>
      </text>
    </comment>
    <comment ref="V31" authorId="3">
      <text>
        <r>
          <rPr>
            <b/>
            <sz val="9"/>
            <rFont val="Segoe UI"/>
            <family val="2"/>
          </rPr>
          <t>neben Wartungskosten, bitte auch den Stand By Stromverbrauch der Heizungsanlage mit einkalkulieren!</t>
        </r>
      </text>
    </comment>
    <comment ref="V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V61" authorId="3">
      <text>
        <r>
          <rPr>
            <b/>
            <sz val="9"/>
            <rFont val="Segoe UI"/>
            <family val="2"/>
          </rPr>
          <t>Formel berücksichtigt: Wirkungsgrad = Jahresnutzungsgrad des Kessels
Strombezug aus dem öffentlichen Netz</t>
        </r>
      </text>
    </comment>
    <comment ref="Z13" authorId="2">
      <text>
        <r>
          <rPr>
            <b/>
            <sz val="8"/>
            <rFont val="Tahoma"/>
            <family val="2"/>
          </rPr>
          <t>Für jede verfügbare Alternative wird unter den oben angegebenen Preisen und notwendigen Brennstoffmenge, die Brennstoffkosten im aktuellem Jahr ermittelt.</t>
        </r>
        <r>
          <rPr>
            <sz val="8"/>
            <rFont val="Tahoma"/>
            <family val="2"/>
          </rPr>
          <t xml:space="preserve">
</t>
        </r>
      </text>
    </comment>
    <comment ref="Z20" authorId="2">
      <text>
        <r>
          <rPr>
            <sz val="8"/>
            <rFont val="Tahoma"/>
            <family val="2"/>
          </rPr>
          <t>Die CO2 Emission bei Strom sinkt derzeit, durch den vermehrten Einsatz von Regenerativen Erzeugungsanlagen. Aktueller Wert ist geschätzt.</t>
        </r>
      </text>
    </comment>
    <comment ref="Z22" authorId="2">
      <text>
        <r>
          <rPr>
            <sz val="8"/>
            <rFont val="Tahoma"/>
            <family val="2"/>
          </rPr>
          <t>Individuelle CO2 Emission der Eigenen Anlage</t>
        </r>
      </text>
    </comment>
    <comment ref="Z29" authorId="3">
      <text>
        <r>
          <rPr>
            <b/>
            <sz val="8"/>
            <rFont val="Arial"/>
            <family val="2"/>
          </rPr>
          <t>Restwertanalyse / Risiko einer Ersatzinvestion fließt nicht in die Gesamtkostenentwicklung mit ein. Ist aber aus Gründen der Transparenz, ein interessanter Parameter.</t>
        </r>
      </text>
    </comment>
    <comment ref="Z33" authorId="3">
      <text>
        <r>
          <rPr>
            <b/>
            <sz val="9"/>
            <rFont val="Segoe UI"/>
            <family val="2"/>
          </rPr>
          <t>Hersteller bieten oft Kombinationen aus Wartung in Verbindung mit einer Garantieverlängerung an. Um die Vergleichbarkeit von verschiedenen Heizsystemen zu gewährleisten, sollten die Wartungskosten getrennt von den Kosten der Garantieverlängerung aufgeführt werden. ACHTUNG ++ In der Gesamtkostenentwicklung werden die Kosten der optionalen Garantieverlängerung nicht mit einbezogen.</t>
        </r>
      </text>
    </comment>
    <comment ref="Z61" authorId="0">
      <text>
        <r>
          <rPr>
            <b/>
            <sz val="8"/>
            <rFont val="Tahoma"/>
            <family val="2"/>
          </rPr>
          <t>Formel berücksichtigt: Wirkungsgrad = Jahresnutzungsgrad des Kessels</t>
        </r>
      </text>
    </comment>
    <comment ref="D61" authorId="0">
      <text>
        <r>
          <rPr>
            <b/>
            <sz val="8"/>
            <rFont val="Tahoma"/>
            <family val="2"/>
          </rPr>
          <t>Formel berücksichtigt: Wirkungsgrad = Jahresnutzungsgrad des Kessels</t>
        </r>
      </text>
    </comment>
    <comment ref="F61" authorId="0">
      <text>
        <r>
          <rPr>
            <b/>
            <sz val="8"/>
            <rFont val="Tahoma"/>
            <family val="2"/>
          </rPr>
          <t>Formel berücksichtigt: Wirkungsgrad = Jahresnutzungsgrad des Kessels</t>
        </r>
      </text>
    </comment>
    <comment ref="H61" authorId="0">
      <text>
        <r>
          <rPr>
            <b/>
            <sz val="8"/>
            <rFont val="Tahoma"/>
            <family val="2"/>
          </rPr>
          <t>Formel berücksichtigt: Wirkungsgrad = Jahresnutzungsgrad des Kessels</t>
        </r>
      </text>
    </comment>
    <comment ref="R3" authorId="3">
      <text>
        <r>
          <rPr>
            <b/>
            <sz val="9"/>
            <rFont val="Segoe UI"/>
            <family val="2"/>
          </rPr>
          <t>Je nach Gesetzeslage, Mehrkosten für Biogas Zumischung / Zertifikate.</t>
        </r>
      </text>
    </comment>
    <comment ref="B7" authorId="3">
      <text>
        <r>
          <rPr>
            <b/>
            <sz val="9"/>
            <rFont val="Segoe UI"/>
            <family val="2"/>
          </rPr>
          <t>Kosten nur, falls zusätzlicher Zähler für Wärmepumpentarif eingesetzt wird.</t>
        </r>
      </text>
    </comment>
    <comment ref="D7" authorId="3">
      <text>
        <r>
          <rPr>
            <b/>
            <sz val="9"/>
            <rFont val="Segoe UI"/>
            <family val="2"/>
          </rPr>
          <t>Kosten nur, falls zusätzlicher Zähler für Wärmepumpentarif eingesetzt wird.</t>
        </r>
      </text>
    </comment>
    <comment ref="F7" authorId="3">
      <text>
        <r>
          <rPr>
            <b/>
            <sz val="9"/>
            <rFont val="Segoe UI"/>
            <family val="2"/>
          </rPr>
          <t>Kosten nur, falls zusätzlicher Zähler für Wärmepumpentarif eingesetzt wird.</t>
        </r>
      </text>
    </comment>
    <comment ref="H7" authorId="3">
      <text>
        <r>
          <rPr>
            <b/>
            <sz val="9"/>
            <rFont val="Segoe UI"/>
            <family val="2"/>
          </rPr>
          <t>Kosten nur, falls zusätzlicher Zähler für Wärmepumpentarif eingesetzt wird.</t>
        </r>
      </text>
    </comment>
    <comment ref="F11" authorId="3">
      <text>
        <r>
          <rPr>
            <b/>
            <sz val="9"/>
            <rFont val="Segoe UI"/>
            <family val="2"/>
          </rPr>
          <t>Bei Naturkühlung (direkt über die Sole, oder über einen Plattenwärmetauscher - ohne Einsatz des Verdichters) wird nur der Umwälzpumpenstrom benötigt, in dem Fall Arbeitszahlen &gt;25 - 60 möglich</t>
        </r>
      </text>
    </comment>
    <comment ref="H11" authorId="3">
      <text>
        <r>
          <rPr>
            <b/>
            <sz val="9"/>
            <rFont val="Segoe UI"/>
            <family val="2"/>
          </rPr>
          <t>Bei Naturkühlung (direkt über die Sole, oder über einen Plattenwärmetauscher - ohne Einsatz des Verdichters) wird nur der Umwälzpumpenstrom benötigt, in dem Fall Arbeitszahlen &gt;25 - 60 möglich</t>
        </r>
      </text>
    </comment>
    <comment ref="J14" authorId="3">
      <text>
        <r>
          <rPr>
            <b/>
            <sz val="9"/>
            <rFont val="Segoe UI"/>
            <family val="2"/>
          </rPr>
          <t>Kühlung erfolgt durch zusätzliches Externes Gerät, bitte geschätzten Stromverbrauch eintragen.</t>
        </r>
      </text>
    </comment>
    <comment ref="L14" authorId="3">
      <text>
        <r>
          <rPr>
            <b/>
            <sz val="9"/>
            <rFont val="Segoe UI"/>
            <family val="2"/>
          </rPr>
          <t>Kühlung erfolgt durch zusätzliches Externes Gerät, bitte geschätzten Stromverbrauch eintragen.</t>
        </r>
      </text>
    </comment>
    <comment ref="N14" authorId="3">
      <text>
        <r>
          <rPr>
            <b/>
            <sz val="9"/>
            <rFont val="Segoe UI"/>
            <family val="2"/>
          </rPr>
          <t>Kühlung erfolgt durch zusätzliches Externes Gerät, bitte geschätzten Stromverbrauch eintragen.</t>
        </r>
      </text>
    </comment>
    <comment ref="P14" authorId="3">
      <text>
        <r>
          <rPr>
            <b/>
            <sz val="9"/>
            <rFont val="Segoe UI"/>
            <family val="2"/>
          </rPr>
          <t>Kühlung erfolgt durch zusätzliches Externes Gerät, bitte geschätzten Stromverbrauch eintragen.</t>
        </r>
      </text>
    </comment>
    <comment ref="R14" authorId="3">
      <text>
        <r>
          <rPr>
            <b/>
            <sz val="9"/>
            <rFont val="Segoe UI"/>
            <family val="2"/>
          </rPr>
          <t>Kühlung erfolgt durch zusätzliches Externes Gerät, bitte geschätzten Stromverbrauch eintragen.</t>
        </r>
      </text>
    </comment>
    <comment ref="T14" authorId="3">
      <text>
        <r>
          <rPr>
            <b/>
            <sz val="9"/>
            <rFont val="Segoe UI"/>
            <family val="2"/>
          </rPr>
          <t>Kühlung erfolgt durch zusätzliches Externes Gerät, bitte geschätzten Stromverbrauch eintragen.</t>
        </r>
      </text>
    </comment>
    <comment ref="V14" authorId="3">
      <text>
        <r>
          <rPr>
            <b/>
            <sz val="9"/>
            <rFont val="Segoe UI"/>
            <family val="2"/>
          </rPr>
          <t>Kühlung erfolgt durch zusätzliches Externes Gerät, bitte geschätzten Stromverbrauch eintragen.</t>
        </r>
      </text>
    </comment>
    <comment ref="X14" authorId="3">
      <text>
        <r>
          <rPr>
            <b/>
            <sz val="9"/>
            <rFont val="Segoe UI"/>
            <family val="2"/>
          </rPr>
          <t>Kühlung erfolgt durch zusätzliches Externes Gerät, bitte geschätzten Stromverbrauch eintragen.</t>
        </r>
      </text>
    </comment>
    <comment ref="Z14" authorId="3">
      <text>
        <r>
          <rPr>
            <b/>
            <sz val="9"/>
            <rFont val="Segoe UI"/>
            <family val="2"/>
          </rPr>
          <t>Kühlung erfolgt durch zusätzliches Externes Gerät, bitte geschätzten Stromverbrauch eintragen.</t>
        </r>
      </text>
    </comment>
    <comment ref="AB14" authorId="3">
      <text>
        <r>
          <rPr>
            <b/>
            <sz val="9"/>
            <rFont val="Segoe UI"/>
            <family val="2"/>
          </rPr>
          <t>Kühlung erfolgt durch zusätzliches Externes Gerät, bitte geschätzten Stromverbrauch eintragen.</t>
        </r>
      </text>
    </comment>
  </commentList>
</comments>
</file>

<file path=xl/sharedStrings.xml><?xml version="1.0" encoding="utf-8"?>
<sst xmlns="http://schemas.openxmlformats.org/spreadsheetml/2006/main" count="995" uniqueCount="203">
  <si>
    <t>Gas</t>
  </si>
  <si>
    <t>Öl</t>
  </si>
  <si>
    <t>kWh / a</t>
  </si>
  <si>
    <t>Personen</t>
  </si>
  <si>
    <t>%</t>
  </si>
  <si>
    <t>Flüssiggas</t>
  </si>
  <si>
    <t>kg / a</t>
  </si>
  <si>
    <t xml:space="preserve"> Marktzins pro Jahr</t>
  </si>
  <si>
    <t>CO2 Emission</t>
  </si>
  <si>
    <t>Warmwasser Verbrauch</t>
  </si>
  <si>
    <t>Strom</t>
  </si>
  <si>
    <t xml:space="preserve">Energiebedarf des Gebäudes </t>
  </si>
  <si>
    <t xml:space="preserve">  Heizfläche</t>
  </si>
  <si>
    <t xml:space="preserve">  Personen im Haushalt</t>
  </si>
  <si>
    <t xml:space="preserve">  WW-Verbrauch</t>
  </si>
  <si>
    <t xml:space="preserve">  Mittlere Vorlauftemperatur Kaltwasser</t>
  </si>
  <si>
    <t xml:space="preserve">  Heizung</t>
  </si>
  <si>
    <t xml:space="preserve">  Warmwasser</t>
  </si>
  <si>
    <t xml:space="preserve">  Restwärmebedarf</t>
  </si>
  <si>
    <t>Anlagennutzungsgrad</t>
  </si>
  <si>
    <t xml:space="preserve"> Kosten nach 20 Jahren auf heute bezogen (Zinsfußmethode)</t>
  </si>
  <si>
    <t>°C</t>
  </si>
  <si>
    <t>m²</t>
  </si>
  <si>
    <t>h</t>
  </si>
  <si>
    <t>ALTBAU</t>
  </si>
  <si>
    <t>NEUBAU</t>
  </si>
  <si>
    <t>INVESTITIONSKOSTEN</t>
  </si>
  <si>
    <t>ENERGIE- &amp; BRENNSTOFFKOSTEN</t>
  </si>
  <si>
    <t>Grundgebühren / Fixe Brennstoffkosten</t>
  </si>
  <si>
    <t>Wartungskosten/Kosten Schornsteinfeger</t>
  </si>
  <si>
    <t>Schüttdichte Pellet / Dichte Flüssiggas</t>
  </si>
  <si>
    <t>ENERGIE- / BRENNSTOFFEIGENSCHAFTEN</t>
  </si>
  <si>
    <t>Methode Kapitalzinsfuß K0, Kosten im Jahr:</t>
  </si>
  <si>
    <t>Inflationsrate (für Wartungskosten/Grundgebühren Fixe Brennstoffkosten)</t>
  </si>
  <si>
    <t>Heizwert (Unterer Heizwert)</t>
  </si>
  <si>
    <t>ZUSAMMENFASSUNG KOSTEN &amp; UMWELTANALYSE</t>
  </si>
  <si>
    <t>GESAMTKOSTENENTWICKLUNG *1)</t>
  </si>
  <si>
    <t>Arbeitszahl</t>
  </si>
  <si>
    <t>€ / Tonne</t>
  </si>
  <si>
    <t>Cent / kWh</t>
  </si>
  <si>
    <t>€ / Monat</t>
  </si>
  <si>
    <t>% / a</t>
  </si>
  <si>
    <t>€ / a</t>
  </si>
  <si>
    <t>kg / m³</t>
  </si>
  <si>
    <t>g / kWh</t>
  </si>
  <si>
    <t>€</t>
  </si>
  <si>
    <t>€ / l</t>
  </si>
  <si>
    <t>kWh / l</t>
  </si>
  <si>
    <t>kWh / m³ Norm</t>
  </si>
  <si>
    <t>kWh / kg</t>
  </si>
  <si>
    <t>bei 15 C° in kg/l</t>
  </si>
  <si>
    <t>kWh/m² * a</t>
  </si>
  <si>
    <t xml:space="preserve">  Wärmebedarf</t>
  </si>
  <si>
    <t xml:space="preserve">  spezifischer</t>
  </si>
  <si>
    <t>Dateneingabefelder</t>
  </si>
  <si>
    <t>Datenausgabefelder</t>
  </si>
  <si>
    <t>Hinweise:</t>
  </si>
  <si>
    <t xml:space="preserve"> *1) Kosten nach 20 Jahren auf heute bezogen</t>
  </si>
  <si>
    <t>*1) Zinsfußmethode, Werte basieren auf der vereinfachten Annahme, dass Brennstoffkosten und Wartungskosten nach Ende eines Abrechnungszeitraumes zu zahlen sind</t>
  </si>
  <si>
    <t>Berechung nach Ihren Angaben siehe Register "2. Dateneingabe"</t>
  </si>
  <si>
    <t>Eingabewerte</t>
  </si>
  <si>
    <t>Ausgabewerte / hinterlegte Werte</t>
  </si>
  <si>
    <t>CO2 kg / a</t>
  </si>
  <si>
    <t xml:space="preserve">im Vergleich </t>
  </si>
  <si>
    <t>min</t>
  </si>
  <si>
    <t>Investition nach Förderung</t>
  </si>
  <si>
    <t>KAPITAL- &amp; WARTUNGSKOSTEN</t>
  </si>
  <si>
    <t>GESAMTKOSTENENTWICKLUNG *2)</t>
  </si>
  <si>
    <t>*2) Berechung basiert auf der vereinfachten Annahme, dass Brennstoffkosten und Wartungskosten nach Ende eines Abrechnungszeitraumes zu zahlen sind</t>
  </si>
  <si>
    <t>*1) Brennstoffverbrauch ermittelt sich mit Einbeziehung des Anlagennutzungsgrads bzw. Arbeitszahl (bei Wärmepumpe)</t>
  </si>
  <si>
    <t>Angaben ohne Gewähr. Irrtum und Änderung vorbehalten</t>
  </si>
  <si>
    <t>Alle Angaben ohne Gewähr, Irrtum und Änderung vorbehalten</t>
  </si>
  <si>
    <t>Cent / l</t>
  </si>
  <si>
    <t>Energiekosten (Extern)</t>
  </si>
  <si>
    <t>= Energiekosten im ersten Jahr</t>
  </si>
  <si>
    <t>Preissteigerung externer Energieträger</t>
  </si>
  <si>
    <t xml:space="preserve">  Eigenverbrauch für die Wärmepumpe</t>
  </si>
  <si>
    <t xml:space="preserve">  Kosten für den selbst erzeugten Strom</t>
  </si>
  <si>
    <t>Grobe Empfehlung der Wärmepumpe</t>
  </si>
  <si>
    <t>kW</t>
  </si>
  <si>
    <t>BAFA weitere Optionale Förderung</t>
  </si>
  <si>
    <t>BaFA Basis Förderung</t>
  </si>
  <si>
    <t>Mit einer WATERKOTTE  Wärmepumpe verringern Sie Ihre CO2 Emission um:</t>
  </si>
  <si>
    <t>externe Energiekosten</t>
  </si>
  <si>
    <t>externe Energiekosten + Gebühren</t>
  </si>
  <si>
    <t>externe Energiekosten im 20igsten Jahr (ohne Gebühren)</t>
  </si>
  <si>
    <t>JAZ</t>
  </si>
  <si>
    <t xml:space="preserve">  Solarthermie, Kaminofen oder nachträglich eingebaute Lüftungsanlagen</t>
  </si>
  <si>
    <t>Dezentrale Strom Eigenproduktion (Photovoltaik, KWK, Wind)</t>
  </si>
  <si>
    <t xml:space="preserve">  Stromtarif (Standart)</t>
  </si>
  <si>
    <t>Cent / kWh brutto</t>
  </si>
  <si>
    <t>Optionale Garantieverlängerungen</t>
  </si>
  <si>
    <t>Risiko einer Ersatzinvestion innerhalb von 20 Jahren</t>
  </si>
  <si>
    <t>Kosten Eigenproduktion Strom</t>
  </si>
  <si>
    <t>Anteil Eigenproduktion Strom für Wärmeerzeuger</t>
  </si>
  <si>
    <t>ENERGIEKOSTEN</t>
  </si>
  <si>
    <t>ENERGIETRÄGER</t>
  </si>
  <si>
    <t>Pellet</t>
  </si>
  <si>
    <t>Grundgebühren anteilig</t>
  </si>
  <si>
    <t>Stromverbrauch für Kesselanlagen</t>
  </si>
  <si>
    <t>Strom extern</t>
  </si>
  <si>
    <t>Strom Eigenproduktion</t>
  </si>
  <si>
    <t>Inflationsrate für Wartungskosten/Kosten Stromverbrauch Kesselanlage/Grundgebühren Fixe Brennstoffkosten</t>
  </si>
  <si>
    <t>Holzpelletkessel mit bivalenten Heizsystem</t>
  </si>
  <si>
    <t>Ölkessel mit bivalenten Heizsystem</t>
  </si>
  <si>
    <t>Gaskessel (Netz) mit bivalenten Heizsystem</t>
  </si>
  <si>
    <t>Flüssiggas mit bivalenten Heizsystem</t>
  </si>
  <si>
    <t>Stromverbrauch Heizkessel</t>
  </si>
  <si>
    <r>
      <t xml:space="preserve">Kiefernholz </t>
    </r>
    <r>
      <rPr>
        <sz val="8"/>
        <rFont val="Arial"/>
        <family val="2"/>
      </rPr>
      <t>(Lärche, Kiefer, Douglasie)</t>
    </r>
  </si>
  <si>
    <r>
      <t xml:space="preserve">Laubholz </t>
    </r>
    <r>
      <rPr>
        <sz val="8"/>
        <rFont val="Arial"/>
        <family val="2"/>
      </rPr>
      <t>(Eiche, Buche, Erle)</t>
    </r>
  </si>
  <si>
    <t>weitere WP mit Bivalenten Heizsystem</t>
  </si>
  <si>
    <t>Zusatzinformationen ohne weiteren Einfluss auf die Gesamtkostenberechnung</t>
  </si>
  <si>
    <t>l / 50 °C * Person * Tag</t>
  </si>
  <si>
    <t>Die Vorteile der Wärmepumpe</t>
  </si>
  <si>
    <t>- Nutzung kostenloser Luft- und Erdwärme</t>
  </si>
  <si>
    <t>- Technologie mit höchsten Effizienzwerten</t>
  </si>
  <si>
    <t>- hohe MAP-Zuschüsse (BAFA) bei Installation</t>
  </si>
  <si>
    <t>- günstige Verbrauchs- und Betriebskosten</t>
  </si>
  <si>
    <t>- Kostenstabilität durch weitgehende Autarkie (Nutzung von Umgebungsenergie + Einbindung eigener Energieerzeugungsanlagen z.B. Photovoltaik)</t>
  </si>
  <si>
    <t>- Sole/Wasser Systeme sind sehr Wertstabil, Erdwärmesonden sind bis zu 100 Jahre einsetzbar</t>
  </si>
  <si>
    <t>- kein Ausstoß von CO2</t>
  </si>
  <si>
    <t>- kein Ausstoß von Feinstaub</t>
  </si>
  <si>
    <t>- kein Abholzen von Wäldern</t>
  </si>
  <si>
    <t>- beste Lastenmanagementfähigkeit</t>
  </si>
  <si>
    <t>- bestmöglichliche Nutzung von Eigenstrom</t>
  </si>
  <si>
    <t>- geringe Stellflächen (umbauter m²) notwendig</t>
  </si>
  <si>
    <t>- keine Vergiftungs- oder Explosionsgefahr</t>
  </si>
  <si>
    <t>- Unabhängigkeit von Brennstoffen</t>
  </si>
  <si>
    <t>- langjährig ausgereifte Technologie</t>
  </si>
  <si>
    <t>- kein drohendes Gesetzesverbot</t>
  </si>
  <si>
    <t>- von der EU gewollte Zukunftstechnologie</t>
  </si>
  <si>
    <t>…modernste Technologie ohne Brennstoffrisiken</t>
  </si>
  <si>
    <r>
      <t xml:space="preserve">Beste </t>
    </r>
    <r>
      <rPr>
        <b/>
        <u val="single"/>
        <sz val="10"/>
        <color indexed="17"/>
        <rFont val="Arial"/>
        <family val="2"/>
      </rPr>
      <t>Wirtschaftlichkeit</t>
    </r>
    <r>
      <rPr>
        <b/>
        <sz val="10"/>
        <rFont val="Arial"/>
        <family val="2"/>
      </rPr>
      <t>, weil…</t>
    </r>
  </si>
  <si>
    <r>
      <t xml:space="preserve">Höchstmöglicher </t>
    </r>
    <r>
      <rPr>
        <b/>
        <u val="single"/>
        <sz val="10"/>
        <color indexed="17"/>
        <rFont val="Arial"/>
        <family val="2"/>
      </rPr>
      <t>Umweltschutz</t>
    </r>
    <r>
      <rPr>
        <b/>
        <sz val="10"/>
        <rFont val="Arial"/>
        <family val="2"/>
      </rPr>
      <t>, weil…</t>
    </r>
  </si>
  <si>
    <r>
      <t xml:space="preserve">Vollkommen </t>
    </r>
    <r>
      <rPr>
        <b/>
        <u val="single"/>
        <sz val="10"/>
        <color indexed="17"/>
        <rFont val="Arial"/>
        <family val="2"/>
      </rPr>
      <t>risikofrei</t>
    </r>
    <r>
      <rPr>
        <b/>
        <sz val="10"/>
        <rFont val="Arial"/>
        <family val="2"/>
      </rPr>
      <t>, weil</t>
    </r>
  </si>
  <si>
    <t>- keine Beschaffung und Lagerung von Brennstoffen</t>
  </si>
  <si>
    <t>- keine Entsorgung von Reststoffen</t>
  </si>
  <si>
    <t>- Systemintegration mit Raumlüftung und PV-Strom</t>
  </si>
  <si>
    <t>- geringster Betreuungs- und Wartungsaufwand</t>
  </si>
  <si>
    <t>…höchste Funktionalität bei geringstem Aufwand</t>
  </si>
  <si>
    <r>
      <t>Best möglicher</t>
    </r>
    <r>
      <rPr>
        <b/>
        <sz val="10"/>
        <color indexed="17"/>
        <rFont val="Arial"/>
        <family val="2"/>
      </rPr>
      <t xml:space="preserve"> </t>
    </r>
    <r>
      <rPr>
        <b/>
        <u val="single"/>
        <sz val="10"/>
        <color indexed="17"/>
        <rFont val="Arial"/>
        <family val="2"/>
      </rPr>
      <t>Komfort</t>
    </r>
    <r>
      <rPr>
        <b/>
        <sz val="10"/>
        <rFont val="Arial"/>
        <family val="2"/>
      </rPr>
      <t>, weil…</t>
    </r>
  </si>
  <si>
    <t>- hervorragend mit Lüftungssystemen kombinierbar (Thema Sicherheitsvorkehrungen wegen Unterdruck bei Feuerstätten entfällt)</t>
  </si>
  <si>
    <t>- Möglichkeit zur Gebäudekühlung im Sommer (z.B. via Heizsystem und Lüftung)</t>
  </si>
  <si>
    <t>Luft/Wasser WATERKOTTE Wärmepumpe monovalent</t>
  </si>
  <si>
    <t>Sole/Wasser WATERKOTTE Wärmepumpe monovalent</t>
  </si>
  <si>
    <r>
      <rPr>
        <b/>
        <sz val="10"/>
        <color indexed="9"/>
        <rFont val="Arial"/>
        <family val="2"/>
      </rPr>
      <t>Luft/Wasser WATERKOTTE</t>
    </r>
    <r>
      <rPr>
        <b/>
        <sz val="10"/>
        <color indexed="17"/>
        <rFont val="Arial"/>
        <family val="2"/>
      </rPr>
      <t xml:space="preserve"> </t>
    </r>
    <r>
      <rPr>
        <b/>
        <sz val="10"/>
        <rFont val="Arial"/>
        <family val="2"/>
      </rPr>
      <t>Wärmepumpe monovalent</t>
    </r>
  </si>
  <si>
    <r>
      <rPr>
        <b/>
        <sz val="10"/>
        <color indexed="9"/>
        <rFont val="Arial"/>
        <family val="2"/>
      </rPr>
      <t>Luft/Wasser WATERKOTTE</t>
    </r>
    <r>
      <rPr>
        <b/>
        <sz val="10"/>
        <rFont val="Arial"/>
        <family val="2"/>
      </rPr>
      <t xml:space="preserve"> mit bivalenten Heizsystem</t>
    </r>
  </si>
  <si>
    <r>
      <rPr>
        <b/>
        <sz val="10"/>
        <color indexed="9"/>
        <rFont val="Arial"/>
        <family val="2"/>
      </rPr>
      <t xml:space="preserve">Sole/Wasser WATERKOTTE </t>
    </r>
    <r>
      <rPr>
        <b/>
        <sz val="10"/>
        <rFont val="Arial"/>
        <family val="2"/>
      </rPr>
      <t>Wärmepumpe monovalent</t>
    </r>
  </si>
  <si>
    <r>
      <rPr>
        <b/>
        <sz val="10"/>
        <color indexed="9"/>
        <rFont val="Arial"/>
        <family val="2"/>
      </rPr>
      <t>Sole/Wasser WATERKOTTE</t>
    </r>
    <r>
      <rPr>
        <b/>
        <sz val="10"/>
        <rFont val="Arial"/>
        <family val="2"/>
      </rPr>
      <t xml:space="preserve"> mit bivalenten Heizsystem</t>
    </r>
  </si>
  <si>
    <r>
      <rPr>
        <b/>
        <sz val="10"/>
        <color indexed="9"/>
        <rFont val="Arial"/>
        <family val="2"/>
      </rPr>
      <t>PELLETKESSEL</t>
    </r>
    <r>
      <rPr>
        <b/>
        <sz val="10"/>
        <rFont val="Arial"/>
        <family val="2"/>
      </rPr>
      <t xml:space="preserve"> monovalent</t>
    </r>
  </si>
  <si>
    <r>
      <rPr>
        <b/>
        <sz val="10"/>
        <color indexed="9"/>
        <rFont val="Arial"/>
        <family val="2"/>
      </rPr>
      <t xml:space="preserve">PELLETKESSEL </t>
    </r>
    <r>
      <rPr>
        <b/>
        <sz val="10"/>
        <rFont val="Arial"/>
        <family val="2"/>
      </rPr>
      <t>mit bivalenten Heizsystem (z.B. Solarthermie)</t>
    </r>
  </si>
  <si>
    <r>
      <rPr>
        <b/>
        <sz val="10"/>
        <color indexed="9"/>
        <rFont val="Arial"/>
        <family val="2"/>
      </rPr>
      <t>Flüssiggas</t>
    </r>
    <r>
      <rPr>
        <b/>
        <sz val="10"/>
        <rFont val="Arial"/>
        <family val="2"/>
      </rPr>
      <t xml:space="preserve"> mit bivalenten Heizsystem</t>
    </r>
  </si>
  <si>
    <r>
      <rPr>
        <b/>
        <sz val="10"/>
        <color indexed="9"/>
        <rFont val="Arial"/>
        <family val="2"/>
      </rPr>
      <t>Gasheizung (Netz)</t>
    </r>
    <r>
      <rPr>
        <b/>
        <sz val="10"/>
        <rFont val="Arial"/>
        <family val="2"/>
      </rPr>
      <t xml:space="preserve"> mit bivalenten Heizsystem</t>
    </r>
  </si>
  <si>
    <r>
      <rPr>
        <b/>
        <sz val="10"/>
        <color indexed="9"/>
        <rFont val="Arial"/>
        <family val="2"/>
      </rPr>
      <t>Ölheizung</t>
    </r>
    <r>
      <rPr>
        <b/>
        <sz val="10"/>
        <rFont val="Arial"/>
        <family val="2"/>
      </rPr>
      <t xml:space="preserve"> mit bivalenten Heizsystem</t>
    </r>
  </si>
  <si>
    <r>
      <rPr>
        <b/>
        <sz val="10"/>
        <color indexed="9"/>
        <rFont val="Arial"/>
        <family val="2"/>
      </rPr>
      <t>Gasheizung (Netz)</t>
    </r>
    <r>
      <rPr>
        <b/>
        <sz val="10"/>
        <rFont val="Arial"/>
        <family val="2"/>
      </rPr>
      <t xml:space="preserve"> monovalent</t>
    </r>
  </si>
  <si>
    <r>
      <rPr>
        <b/>
        <sz val="10"/>
        <color indexed="9"/>
        <rFont val="Arial"/>
        <family val="2"/>
      </rPr>
      <t>Ölheizung</t>
    </r>
    <r>
      <rPr>
        <b/>
        <sz val="10"/>
        <rFont val="Arial"/>
        <family val="2"/>
      </rPr>
      <t xml:space="preserve"> monovaltent</t>
    </r>
  </si>
  <si>
    <r>
      <rPr>
        <b/>
        <sz val="10"/>
        <color indexed="9"/>
        <rFont val="Arial"/>
        <family val="2"/>
      </rPr>
      <t>Flüssiggas</t>
    </r>
    <r>
      <rPr>
        <b/>
        <sz val="10"/>
        <rFont val="Arial"/>
        <family val="2"/>
      </rPr>
      <t xml:space="preserve"> monovalent</t>
    </r>
  </si>
  <si>
    <t>Energieeinsatz für den Wärmeerzeuger</t>
  </si>
  <si>
    <t>kWh elektrisch / a</t>
  </si>
  <si>
    <t>Luft/Wasser WATERKOTTE Wärmepumpe mit bivalenten Heizsystem</t>
  </si>
  <si>
    <t>Sole/Wasser WATERKOTTE Wärmepumpe mit bivalenten Heizsystem</t>
  </si>
  <si>
    <t>Holzpelletkessel monovalent</t>
  </si>
  <si>
    <t>Ölkessel monovalent</t>
  </si>
  <si>
    <t>Gaskessel (Netz) monovalent</t>
  </si>
  <si>
    <t>Flüssiggas monovalent</t>
  </si>
  <si>
    <t>Stromheizung oder Infrarotheizung monovalent</t>
  </si>
  <si>
    <t>Stromheizung oder Infrarotheizung mit bivalenten Heizsystem</t>
  </si>
  <si>
    <r>
      <rPr>
        <b/>
        <sz val="10"/>
        <color indexed="9"/>
        <rFont val="Arial"/>
        <family val="2"/>
      </rPr>
      <t xml:space="preserve">Stromheizung </t>
    </r>
    <r>
      <rPr>
        <b/>
        <sz val="10"/>
        <rFont val="Arial"/>
        <family val="2"/>
      </rPr>
      <t>monovalent</t>
    </r>
  </si>
  <si>
    <r>
      <rPr>
        <b/>
        <sz val="10"/>
        <color indexed="9"/>
        <rFont val="Arial"/>
        <family val="2"/>
      </rPr>
      <t>Stromheizung oder Infrarotheizung *3)</t>
    </r>
    <r>
      <rPr>
        <b/>
        <sz val="10"/>
        <rFont val="Arial"/>
        <family val="2"/>
      </rPr>
      <t xml:space="preserve"> mit bivalenten Heizsystem</t>
    </r>
  </si>
  <si>
    <t>*3) Die Infrarotheizung ist von der Berechnungsart eine "Stromheizung". Allerdings kann bei Infrarotheizungen mit etwas geringere Raumtemperaturen (durch die direkte Anstrahlung der Körper) gearbeitet werden. Der hierdurch eingesparte Energieeinsatz kann unter "bivalentes Heizsystem" berücksichtigt werden.</t>
  </si>
  <si>
    <t>…bis zu 100 % erneuerbar und 100 % emissionsfrei.</t>
  </si>
  <si>
    <t>…Amortisation bereits nach wenigen Jahren möglich.</t>
  </si>
  <si>
    <t xml:space="preserve">  Kühlung</t>
  </si>
  <si>
    <t>% von Heizbedarf</t>
  </si>
  <si>
    <t>WATERKOTTE GmbH, Alpha - Version 1.3., Seite 1/2</t>
  </si>
  <si>
    <t>l / a</t>
  </si>
  <si>
    <t>m³ Norm / a</t>
  </si>
  <si>
    <t>m³ gestapeltes Holz / a</t>
  </si>
  <si>
    <t>Arbeitszahl (heizen)</t>
  </si>
  <si>
    <t>Arbeitszahl (kühlen)</t>
  </si>
  <si>
    <t>Energieeinsatz für den Kälteerzeuger</t>
  </si>
  <si>
    <t>Kosten Stromverbrauch Kesselanlagen + externe Kühlung</t>
  </si>
  <si>
    <t>Investitionsvergleich Wärmepumpe zu alternativen Heiz- und Kühlsystemen</t>
  </si>
  <si>
    <r>
      <t xml:space="preserve">WATERKOTTE GmbH, Investitionsvergleich von Heizsystemen, </t>
    </r>
    <r>
      <rPr>
        <b/>
        <sz val="14"/>
        <color indexed="10"/>
        <rFont val="Arial"/>
        <family val="2"/>
      </rPr>
      <t>Alpa-V</t>
    </r>
    <r>
      <rPr>
        <b/>
        <sz val="14"/>
        <color indexed="10"/>
        <rFont val="Arial"/>
        <family val="2"/>
      </rPr>
      <t>ersion 1.3</t>
    </r>
    <r>
      <rPr>
        <b/>
        <sz val="14"/>
        <rFont val="Arial"/>
        <family val="2"/>
      </rPr>
      <t>, Seite 2/2</t>
    </r>
  </si>
  <si>
    <t xml:space="preserve">  Bereitstellungsverluste und Zirkulation</t>
  </si>
  <si>
    <t xml:space="preserve">  Wärmeleistung für die Warmwasseraufbereitung</t>
  </si>
  <si>
    <t>kW / Person</t>
  </si>
  <si>
    <t xml:space="preserve">  Wärmeerzeugerleistung*</t>
  </si>
  <si>
    <t xml:space="preserve">  Voll-Laststunden (Heizen)*</t>
  </si>
  <si>
    <t xml:space="preserve">  Kälteerzeugerleistung*</t>
  </si>
  <si>
    <t>*Grobe Empfehlung der Wärmepumpe nach Volllaststunden in Bezug auf den Heizenergiebedarf des Gebäudes, sowie einfache Pauschale Kalkulation der Wärmeleistung für die Warmwasseraufbereitung. Dieses Auslegungsprogramm ersetzt nicht eine Auslegung nach entsprechender DIN EN 12831 Norm. Angaben sowie Rechenergebnisse ohne Gewähr. Irrtum und Änderung vorbehalten. Version 08/2015</t>
  </si>
  <si>
    <t xml:space="preserve">  Voll-Laststunden (Kühlen)</t>
  </si>
  <si>
    <t>kWh thermisch / a</t>
  </si>
  <si>
    <t xml:space="preserve">  Anteil in den Wärmeeintrag Heizen</t>
  </si>
  <si>
    <t>Heizwärmeeintrag durch Bereitsstellungsverluste und Zirkulation</t>
  </si>
  <si>
    <t xml:space="preserve">  Heizwärmebedarf</t>
  </si>
  <si>
    <t xml:space="preserve">  Heizwärmebedarf inklusive Heizwärmeeintrag</t>
  </si>
  <si>
    <t>Design und Programmierung: Marian Vogel</t>
  </si>
  <si>
    <t>Bivalente Heiz- und Kühlsysteme, oder Wärmerückgewinnung</t>
  </si>
  <si>
    <t xml:space="preserve">  zusätzliches Kühlgerät / Kälteenergiequelle</t>
  </si>
  <si>
    <t xml:space="preserve">  Restkühlbedarf</t>
  </si>
  <si>
    <t xml:space="preserve">  EVU Sperrzeiten / Aufschlag</t>
  </si>
  <si>
    <t xml:space="preserve">  Stromtarif für die Wärmepumpe</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</si>
</sst>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_-* #,##0.0\ &quot;€&quot;_-;\-* #,##0.0\ &quot;€&quot;_-;_-* &quot;-&quot;??\ &quot;€&quot;_-;_-@_-"/>
    <numFmt numFmtId="167" formatCode="_-* #,##0\ &quot;€&quot;_-;\-* #,##0\ &quot;€&quot;_-;_-* &quot;-&quot;??\ &quot;€&quot;_-;_-@_-"/>
    <numFmt numFmtId="168" formatCode="_-* #,##0\ [$€-1]_-;\-* #,##0\ [$€-1]_-;_-* &quot;-&quot;??\ [$€-1]_-"/>
    <numFmt numFmtId="169" formatCode="0.000000000"/>
    <numFmt numFmtId="170" formatCode="0.0000000000"/>
    <numFmt numFmtId="171" formatCode="0.00000000"/>
    <numFmt numFmtId="172" formatCode="0.0000000"/>
    <numFmt numFmtId="173" formatCode="0.000000"/>
    <numFmt numFmtId="174" formatCode="0.00000"/>
    <numFmt numFmtId="175" formatCode="0.0000"/>
    <numFmt numFmtId="176" formatCode="0.00\ &quot;€ / Tonne&quot;"/>
    <numFmt numFmtId="177" formatCode="0\ &quot;€ / Tonne&quot;"/>
    <numFmt numFmtId="178" formatCode="0.00\ &quot;€ / l&quot;"/>
    <numFmt numFmtId="179" formatCode="0.000\ &quot;€ Cent / kWh&quot;"/>
    <numFmt numFmtId="180" formatCode="0.00\ &quot;€ Cent / kWh&quot;"/>
    <numFmt numFmtId="181" formatCode="0.00\ &quot;Cent / kWh&quot;"/>
    <numFmt numFmtId="182" formatCode="0\ &quot;%&quot;"/>
    <numFmt numFmtId="183" formatCode="0.0\ &quot;COP Faktor a&quot;"/>
    <numFmt numFmtId="184" formatCode="0.0\ &quot;d. COP/a&quot;"/>
    <numFmt numFmtId="185" formatCode="0.0\ &quot;COP/a&quot;"/>
    <numFmt numFmtId="186" formatCode="0.00\ &quot;€ / Monat&quot;"/>
    <numFmt numFmtId="187" formatCode="0.0\ &quot;% / a&quot;"/>
    <numFmt numFmtId="188" formatCode="#,##0\ &quot;kWh / a&quot;"/>
    <numFmt numFmtId="189" formatCode="#,##0\ &quot;€ / a&quot;"/>
    <numFmt numFmtId="190" formatCode="0.0\ &quot;kWh / kg&quot;"/>
    <numFmt numFmtId="191" formatCode="0\ &quot;kg / m³&quot;"/>
    <numFmt numFmtId="192" formatCode="0\ &quot;g / kWh&quot;"/>
    <numFmt numFmtId="193" formatCode="0.0\ &quot;kWh / l&quot;"/>
    <numFmt numFmtId="194" formatCode="0.0\ &quot;kWh / m³Norm&quot;"/>
    <numFmt numFmtId="195" formatCode="0.00\ &quot;kWh / kg&quot;"/>
    <numFmt numFmtId="196" formatCode="0.00\ &quot;bei 15C in kg/l&quot;"/>
    <numFmt numFmtId="197" formatCode="_-* #,##0.00\ [$€-1]_-;\-* #,##0.00\ [$€-1]_-;_-* &quot;-&quot;??\ [$€-1]_-"/>
    <numFmt numFmtId="198" formatCode="_-* #,##0.000\ [$€-1]_-;\-* #,##0.000\ [$€-1]_-;_-* &quot;-&quot;??\ [$€-1]_-"/>
    <numFmt numFmtId="199" formatCode="_-* #,##0.0\ [$€-1]_-;\-* #,##0.0\ [$€-1]_-;_-* &quot;-&quot;??\ [$€-1]_-"/>
    <numFmt numFmtId="200" formatCode="0_ ;\-0\ "/>
    <numFmt numFmtId="201" formatCode="_-* #,##0.0000\ [$€-1]_-;\-* #,##0.0000\ [$€-1]_-;_-* &quot;-&quot;??\ [$€-1]_-"/>
    <numFmt numFmtId="202" formatCode="#,##0\ &quot;kg / a&quot;"/>
    <numFmt numFmtId="203" formatCode="0.00000000000"/>
    <numFmt numFmtId="204" formatCode="#,##0.0"/>
    <numFmt numFmtId="205" formatCode="&quot;Ja&quot;;&quot;Ja&quot;;&quot;Nein&quot;"/>
    <numFmt numFmtId="206" formatCode="&quot;Wahr&quot;;&quot;Wahr&quot;;&quot;Falsch&quot;"/>
    <numFmt numFmtId="207" formatCode="&quot;Ein&quot;;&quot;Ein&quot;;&quot;Aus&quot;"/>
    <numFmt numFmtId="208" formatCode="[$€-2]\ #,##0.00_);[Red]\([$€-2]\ #,##0.00\)"/>
  </numFmts>
  <fonts count="83">
    <font>
      <sz val="10"/>
      <name val="Arial"/>
      <family val="0"/>
    </font>
    <font>
      <b/>
      <sz val="10"/>
      <name val="Arial"/>
      <family val="2"/>
    </font>
    <font>
      <sz val="8"/>
      <color indexed="12"/>
      <name val="Arial"/>
      <family val="2"/>
    </font>
    <font>
      <sz val="8"/>
      <name val="Arial"/>
      <family val="2"/>
    </font>
    <font>
      <sz val="8"/>
      <name val="Tahoma"/>
      <family val="2"/>
    </font>
    <font>
      <b/>
      <sz val="8"/>
      <name val="Tahoma"/>
      <family val="2"/>
    </font>
    <font>
      <sz val="10"/>
      <color indexed="60"/>
      <name val="Arial"/>
      <family val="2"/>
    </font>
    <font>
      <b/>
      <sz val="10"/>
      <color indexed="60"/>
      <name val="Arial"/>
      <family val="2"/>
    </font>
    <font>
      <b/>
      <sz val="10"/>
      <color indexed="10"/>
      <name val="Arial"/>
      <family val="2"/>
    </font>
    <font>
      <sz val="10"/>
      <color indexed="22"/>
      <name val="Arial"/>
      <family val="2"/>
    </font>
    <font>
      <b/>
      <sz val="8"/>
      <name val="Arial"/>
      <family val="2"/>
    </font>
    <font>
      <sz val="12"/>
      <name val="Arial"/>
      <family val="2"/>
    </font>
    <font>
      <sz val="18"/>
      <name val="Arial"/>
      <family val="2"/>
    </font>
    <font>
      <sz val="10"/>
      <color indexed="8"/>
      <name val="Arial"/>
      <family val="2"/>
    </font>
    <font>
      <sz val="8"/>
      <color indexed="8"/>
      <name val="Arial"/>
      <family val="2"/>
    </font>
    <font>
      <sz val="12"/>
      <color indexed="60"/>
      <name val="Arial"/>
      <family val="2"/>
    </font>
    <font>
      <sz val="10"/>
      <color indexed="10"/>
      <name val="Arial"/>
      <family val="2"/>
    </font>
    <font>
      <b/>
      <sz val="12"/>
      <name val="Arial"/>
      <family val="2"/>
    </font>
    <font>
      <b/>
      <sz val="14"/>
      <name val="Arial"/>
      <family val="2"/>
    </font>
    <font>
      <b/>
      <sz val="8"/>
      <color indexed="8"/>
      <name val="Arial"/>
      <family val="2"/>
    </font>
    <font>
      <u val="single"/>
      <sz val="10"/>
      <color indexed="12"/>
      <name val="Arial"/>
      <family val="2"/>
    </font>
    <font>
      <u val="single"/>
      <sz val="10"/>
      <color indexed="36"/>
      <name val="Arial"/>
      <family val="2"/>
    </font>
    <font>
      <sz val="8"/>
      <color indexed="22"/>
      <name val="Arial"/>
      <family val="2"/>
    </font>
    <font>
      <b/>
      <sz val="10"/>
      <color indexed="8"/>
      <name val="Arial"/>
      <family val="2"/>
    </font>
    <font>
      <sz val="10"/>
      <color indexed="55"/>
      <name val="Arial"/>
      <family val="2"/>
    </font>
    <font>
      <b/>
      <sz val="8"/>
      <color indexed="10"/>
      <name val="Arial"/>
      <family val="2"/>
    </font>
    <font>
      <i/>
      <sz val="10"/>
      <name val="Arial"/>
      <family val="2"/>
    </font>
    <font>
      <i/>
      <sz val="8"/>
      <name val="Arial"/>
      <family val="2"/>
    </font>
    <font>
      <sz val="12"/>
      <color indexed="10"/>
      <name val="Arial"/>
      <family val="2"/>
    </font>
    <font>
      <b/>
      <sz val="14"/>
      <color indexed="10"/>
      <name val="Arial"/>
      <family val="2"/>
    </font>
    <font>
      <sz val="10"/>
      <color indexed="9"/>
      <name val="Arial"/>
      <family val="2"/>
    </font>
    <font>
      <b/>
      <sz val="9"/>
      <name val="Segoe UI"/>
      <family val="2"/>
    </font>
    <font>
      <sz val="9"/>
      <name val="Segoe UI"/>
      <family val="2"/>
    </font>
    <font>
      <b/>
      <sz val="10"/>
      <color indexed="9"/>
      <name val="Arial"/>
      <family val="2"/>
    </font>
    <font>
      <b/>
      <sz val="10"/>
      <color indexed="17"/>
      <name val="Arial"/>
      <family val="2"/>
    </font>
    <font>
      <b/>
      <u val="single"/>
      <sz val="10"/>
      <color indexed="17"/>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55"/>
      <name val="Arial"/>
      <family val="2"/>
    </font>
    <font>
      <sz val="8.2"/>
      <color indexed="12"/>
      <name val="Arial"/>
      <family val="2"/>
    </font>
    <font>
      <sz val="8"/>
      <name val="Segoe UI"/>
      <family val="2"/>
    </font>
    <font>
      <sz val="8.5"/>
      <color indexed="8"/>
      <name val="Arial"/>
      <family val="0"/>
    </font>
    <font>
      <sz val="11.75"/>
      <color indexed="8"/>
      <name val="Arial"/>
      <family val="0"/>
    </font>
    <font>
      <sz val="7.1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family val="2"/>
    </font>
    <font>
      <sz val="10"/>
      <color theme="0"/>
      <name val="Arial"/>
      <family val="2"/>
    </font>
    <font>
      <b/>
      <sz val="8"/>
      <color rgb="FFFF0000"/>
      <name val="Arial"/>
      <family val="2"/>
    </font>
    <font>
      <b/>
      <sz val="8"/>
      <color theme="0" tint="-0.24997000396251678"/>
      <name val="Arial"/>
      <family val="2"/>
    </font>
    <font>
      <sz val="8.2"/>
      <color rgb="FF1111CC"/>
      <name val="Arial"/>
      <family val="2"/>
    </font>
    <font>
      <sz val="8"/>
      <color theme="0" tint="-0.1499900072813034"/>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rgb="FFFFC000"/>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FF99"/>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0000"/>
        <bgColor indexed="64"/>
      </patternFill>
    </fill>
    <fill>
      <patternFill patternType="solid">
        <fgColor theme="9" tint="-0.24997000396251678"/>
        <bgColor indexed="64"/>
      </patternFill>
    </fill>
    <fill>
      <patternFill patternType="solid">
        <fgColor theme="1" tint="0.34999001026153564"/>
        <bgColor indexed="64"/>
      </patternFill>
    </fill>
    <fill>
      <patternFill patternType="solid">
        <fgColor rgb="FFC0000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color indexed="63"/>
      </bottom>
    </border>
    <border>
      <left style="medium"/>
      <right>
        <color indexed="63"/>
      </right>
      <top style="medium"/>
      <bottom style="thin"/>
    </border>
    <border>
      <left>
        <color indexed="63"/>
      </left>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thin"/>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21" fillId="0" borderId="0" applyNumberFormat="0" applyFill="0" applyBorder="0" applyAlignment="0" applyProtection="0"/>
    <xf numFmtId="41"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43" fontId="0" fillId="0" borderId="0" applyFont="0" applyFill="0" applyBorder="0" applyAlignment="0" applyProtection="0"/>
    <xf numFmtId="0" fontId="20" fillId="0" borderId="0" applyNumberForma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406">
    <xf numFmtId="0" fontId="0" fillId="0" borderId="0" xfId="0" applyAlignment="1">
      <alignment/>
    </xf>
    <xf numFmtId="0" fontId="10" fillId="33" borderId="10" xfId="0" applyFont="1" applyFill="1" applyBorder="1" applyAlignment="1" applyProtection="1">
      <alignment horizontal="right"/>
      <protection hidden="1"/>
    </xf>
    <xf numFmtId="186" fontId="19" fillId="33" borderId="10" xfId="0" applyNumberFormat="1" applyFont="1" applyFill="1" applyBorder="1" applyAlignment="1" applyProtection="1">
      <alignment horizontal="right"/>
      <protection hidden="1"/>
    </xf>
    <xf numFmtId="0" fontId="19" fillId="33" borderId="10" xfId="0" applyFont="1" applyFill="1" applyBorder="1" applyAlignment="1" applyProtection="1">
      <alignment horizontal="right"/>
      <protection hidden="1"/>
    </xf>
    <xf numFmtId="185" fontId="19" fillId="33" borderId="10" xfId="0" applyNumberFormat="1" applyFont="1" applyFill="1" applyBorder="1" applyAlignment="1" applyProtection="1">
      <alignment horizontal="right"/>
      <protection hidden="1"/>
    </xf>
    <xf numFmtId="187" fontId="19" fillId="33" borderId="10" xfId="0" applyNumberFormat="1" applyFont="1" applyFill="1" applyBorder="1" applyAlignment="1" applyProtection="1">
      <alignment horizontal="right"/>
      <protection hidden="1"/>
    </xf>
    <xf numFmtId="189" fontId="19" fillId="33" borderId="10" xfId="0" applyNumberFormat="1" applyFont="1" applyFill="1" applyBorder="1" applyAlignment="1" applyProtection="1">
      <alignment horizontal="right"/>
      <protection hidden="1"/>
    </xf>
    <xf numFmtId="168" fontId="7" fillId="33" borderId="11" xfId="0" applyNumberFormat="1" applyFont="1" applyFill="1" applyBorder="1" applyAlignment="1" applyProtection="1">
      <alignment/>
      <protection hidden="1"/>
    </xf>
    <xf numFmtId="187" fontId="19" fillId="33" borderId="10" xfId="0" applyNumberFormat="1" applyFont="1" applyFill="1" applyBorder="1" applyAlignment="1" applyProtection="1">
      <alignment horizontal="right" wrapText="1"/>
      <protection hidden="1"/>
    </xf>
    <xf numFmtId="187" fontId="19" fillId="33" borderId="12" xfId="0" applyNumberFormat="1" applyFont="1" applyFill="1" applyBorder="1" applyAlignment="1" applyProtection="1">
      <alignment horizontal="right"/>
      <protection hidden="1"/>
    </xf>
    <xf numFmtId="0" fontId="0" fillId="34" borderId="13" xfId="0" applyFill="1" applyBorder="1" applyAlignment="1" applyProtection="1">
      <alignment/>
      <protection locked="0"/>
    </xf>
    <xf numFmtId="0" fontId="13" fillId="34" borderId="13" xfId="0" applyFont="1" applyFill="1" applyBorder="1" applyAlignment="1" applyProtection="1">
      <alignment/>
      <protection locked="0"/>
    </xf>
    <xf numFmtId="0" fontId="0" fillId="34" borderId="13" xfId="0" applyFont="1" applyFill="1" applyBorder="1" applyAlignment="1" applyProtection="1">
      <alignment/>
      <protection locked="0"/>
    </xf>
    <xf numFmtId="3" fontId="0" fillId="34" borderId="13" xfId="0" applyNumberFormat="1" applyFill="1" applyBorder="1" applyAlignment="1" applyProtection="1">
      <alignment/>
      <protection locked="0"/>
    </xf>
    <xf numFmtId="2" fontId="0" fillId="35" borderId="0" xfId="0" applyNumberFormat="1" applyFont="1" applyFill="1" applyBorder="1" applyAlignment="1" applyProtection="1">
      <alignment horizontal="right"/>
      <protection hidden="1"/>
    </xf>
    <xf numFmtId="2" fontId="0" fillId="35" borderId="10" xfId="0" applyNumberFormat="1" applyFont="1" applyFill="1" applyBorder="1" applyAlignment="1" applyProtection="1">
      <alignment horizontal="right"/>
      <protection hidden="1"/>
    </xf>
    <xf numFmtId="2" fontId="0" fillId="35" borderId="10" xfId="0" applyNumberFormat="1" applyFill="1" applyBorder="1" applyAlignment="1" applyProtection="1">
      <alignment horizontal="right"/>
      <protection hidden="1"/>
    </xf>
    <xf numFmtId="2" fontId="0" fillId="33" borderId="10" xfId="0" applyNumberFormat="1" applyFill="1" applyBorder="1" applyAlignment="1" applyProtection="1">
      <alignment horizontal="right"/>
      <protection hidden="1"/>
    </xf>
    <xf numFmtId="2" fontId="0" fillId="35" borderId="10" xfId="0" applyNumberFormat="1" applyFont="1" applyFill="1" applyBorder="1" applyAlignment="1" applyProtection="1">
      <alignment horizontal="right" wrapText="1"/>
      <protection hidden="1"/>
    </xf>
    <xf numFmtId="2" fontId="0" fillId="35" borderId="12" xfId="0" applyNumberFormat="1" applyFont="1" applyFill="1" applyBorder="1" applyAlignment="1" applyProtection="1">
      <alignment horizontal="right" wrapText="1"/>
      <protection hidden="1"/>
    </xf>
    <xf numFmtId="3" fontId="1" fillId="34" borderId="14" xfId="0" applyNumberFormat="1" applyFont="1" applyFill="1" applyBorder="1" applyAlignment="1" applyProtection="1">
      <alignment horizontal="right"/>
      <protection hidden="1" locked="0"/>
    </xf>
    <xf numFmtId="3" fontId="1" fillId="34" borderId="15" xfId="0" applyNumberFormat="1" applyFont="1" applyFill="1" applyBorder="1" applyAlignment="1" applyProtection="1">
      <alignment horizontal="right"/>
      <protection hidden="1" locked="0"/>
    </xf>
    <xf numFmtId="3" fontId="1" fillId="34" borderId="16" xfId="0" applyNumberFormat="1" applyFont="1" applyFill="1" applyBorder="1" applyAlignment="1" applyProtection="1">
      <alignment horizontal="right"/>
      <protection hidden="1" locked="0"/>
    </xf>
    <xf numFmtId="3" fontId="1" fillId="35" borderId="17" xfId="0" applyNumberFormat="1" applyFont="1" applyFill="1" applyBorder="1" applyAlignment="1" applyProtection="1">
      <alignment horizontal="right"/>
      <protection hidden="1"/>
    </xf>
    <xf numFmtId="3" fontId="1" fillId="34" borderId="15" xfId="0" applyNumberFormat="1" applyFont="1" applyFill="1" applyBorder="1" applyAlignment="1" applyProtection="1">
      <alignment horizontal="right"/>
      <protection locked="0"/>
    </xf>
    <xf numFmtId="2" fontId="1" fillId="34" borderId="14" xfId="0" applyNumberFormat="1" applyFont="1" applyFill="1" applyBorder="1" applyAlignment="1" applyProtection="1">
      <alignment horizontal="right"/>
      <protection hidden="1" locked="0"/>
    </xf>
    <xf numFmtId="2" fontId="1" fillId="34" borderId="18" xfId="0" applyNumberFormat="1" applyFont="1" applyFill="1" applyBorder="1" applyAlignment="1" applyProtection="1">
      <alignment horizontal="right"/>
      <protection hidden="1" locked="0"/>
    </xf>
    <xf numFmtId="2" fontId="1" fillId="34" borderId="14" xfId="0" applyNumberFormat="1" applyFont="1" applyFill="1" applyBorder="1" applyAlignment="1" applyProtection="1">
      <alignment horizontal="right" wrapText="1"/>
      <protection hidden="1" locked="0"/>
    </xf>
    <xf numFmtId="2" fontId="1" fillId="34" borderId="18" xfId="0" applyNumberFormat="1" applyFont="1" applyFill="1" applyBorder="1" applyAlignment="1" applyProtection="1">
      <alignment horizontal="right" wrapText="1"/>
      <protection hidden="1" locked="0"/>
    </xf>
    <xf numFmtId="2" fontId="26" fillId="34" borderId="18" xfId="0" applyNumberFormat="1" applyFont="1" applyFill="1" applyBorder="1" applyAlignment="1" applyProtection="1">
      <alignment horizontal="right"/>
      <protection hidden="1" locked="0"/>
    </xf>
    <xf numFmtId="2" fontId="26" fillId="34" borderId="14" xfId="0" applyNumberFormat="1" applyFont="1" applyFill="1" applyBorder="1" applyAlignment="1" applyProtection="1">
      <alignment horizontal="right"/>
      <protection hidden="1" locked="0"/>
    </xf>
    <xf numFmtId="3" fontId="1" fillId="34" borderId="14" xfId="0" applyNumberFormat="1" applyFont="1" applyFill="1" applyBorder="1" applyAlignment="1" applyProtection="1">
      <alignment horizontal="right"/>
      <protection locked="0"/>
    </xf>
    <xf numFmtId="2" fontId="1" fillId="34" borderId="19" xfId="0" applyNumberFormat="1" applyFont="1" applyFill="1" applyBorder="1" applyAlignment="1" applyProtection="1">
      <alignment horizontal="right"/>
      <protection hidden="1" locked="0"/>
    </xf>
    <xf numFmtId="3" fontId="1" fillId="34" borderId="20" xfId="0" applyNumberFormat="1" applyFont="1" applyFill="1" applyBorder="1" applyAlignment="1" applyProtection="1">
      <alignment horizontal="right"/>
      <protection hidden="1" locked="0"/>
    </xf>
    <xf numFmtId="0" fontId="0" fillId="0" borderId="0" xfId="0" applyAlignment="1" applyProtection="1">
      <alignment/>
      <protection/>
    </xf>
    <xf numFmtId="0" fontId="0" fillId="33" borderId="0" xfId="0" applyFont="1" applyFill="1" applyBorder="1" applyAlignment="1" applyProtection="1">
      <alignmen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4" fillId="33" borderId="0" xfId="0" applyFont="1" applyFill="1" applyBorder="1" applyAlignment="1" applyProtection="1">
      <alignment/>
      <protection/>
    </xf>
    <xf numFmtId="0" fontId="0" fillId="33" borderId="0" xfId="0" applyFill="1" applyAlignment="1" applyProtection="1">
      <alignment/>
      <protection/>
    </xf>
    <xf numFmtId="0" fontId="17" fillId="33" borderId="0" xfId="0" applyFont="1" applyFill="1" applyAlignment="1" applyProtection="1">
      <alignment horizontal="left" vertical="center"/>
      <protection/>
    </xf>
    <xf numFmtId="0" fontId="0" fillId="33" borderId="0" xfId="0" applyFill="1" applyAlignment="1" applyProtection="1">
      <alignment horizontal="left" vertical="center"/>
      <protection/>
    </xf>
    <xf numFmtId="0" fontId="0" fillId="33" borderId="0" xfId="0" applyFill="1" applyBorder="1" applyAlignment="1" applyProtection="1">
      <alignment horizontal="left" vertical="center"/>
      <protection/>
    </xf>
    <xf numFmtId="0" fontId="0" fillId="33" borderId="0" xfId="0" applyFont="1" applyFill="1" applyAlignment="1" applyProtection="1">
      <alignment horizontal="left" vertical="center"/>
      <protection/>
    </xf>
    <xf numFmtId="0" fontId="11" fillId="33" borderId="0" xfId="0" applyFont="1" applyFill="1" applyAlignment="1" applyProtection="1">
      <alignment/>
      <protection/>
    </xf>
    <xf numFmtId="0" fontId="12" fillId="33" borderId="0" xfId="0" applyFont="1" applyFill="1" applyAlignment="1" applyProtection="1">
      <alignment horizontal="left" vertical="center"/>
      <protection/>
    </xf>
    <xf numFmtId="0" fontId="0" fillId="33" borderId="0" xfId="0" applyFill="1" applyBorder="1" applyAlignment="1" applyProtection="1">
      <alignment/>
      <protection/>
    </xf>
    <xf numFmtId="0" fontId="0" fillId="0" borderId="0" xfId="0" applyAlignment="1" applyProtection="1">
      <alignment/>
      <protection/>
    </xf>
    <xf numFmtId="0" fontId="16"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Border="1" applyAlignment="1" applyProtection="1">
      <alignment/>
      <protection/>
    </xf>
    <xf numFmtId="0" fontId="25" fillId="33" borderId="0" xfId="0" applyFont="1" applyFill="1" applyBorder="1" applyAlignment="1" applyProtection="1">
      <alignment/>
      <protection/>
    </xf>
    <xf numFmtId="0" fontId="0" fillId="33" borderId="0" xfId="0" applyFont="1" applyFill="1" applyAlignment="1" applyProtection="1">
      <alignment/>
      <protection/>
    </xf>
    <xf numFmtId="0" fontId="6" fillId="33" borderId="0" xfId="0" applyFont="1" applyFill="1" applyBorder="1" applyAlignment="1" applyProtection="1">
      <alignment/>
      <protection/>
    </xf>
    <xf numFmtId="0" fontId="17" fillId="36" borderId="21" xfId="0" applyFont="1" applyFill="1" applyBorder="1" applyAlignment="1" applyProtection="1">
      <alignment/>
      <protection/>
    </xf>
    <xf numFmtId="0" fontId="0" fillId="36" borderId="22" xfId="0" applyFill="1" applyBorder="1" applyAlignment="1" applyProtection="1">
      <alignment/>
      <protection/>
    </xf>
    <xf numFmtId="0" fontId="1" fillId="36" borderId="22" xfId="0" applyFont="1" applyFill="1" applyBorder="1" applyAlignment="1" applyProtection="1">
      <alignment horizontal="left"/>
      <protection/>
    </xf>
    <xf numFmtId="2" fontId="0" fillId="34" borderId="13" xfId="0" applyNumberFormat="1" applyFill="1" applyBorder="1" applyAlignment="1" applyProtection="1">
      <alignment horizontal="right"/>
      <protection/>
    </xf>
    <xf numFmtId="0" fontId="0" fillId="36" borderId="23" xfId="0" applyFill="1" applyBorder="1" applyAlignment="1" applyProtection="1">
      <alignment/>
      <protection/>
    </xf>
    <xf numFmtId="0" fontId="0" fillId="36" borderId="24" xfId="0" applyFill="1" applyBorder="1" applyAlignment="1" applyProtection="1">
      <alignment/>
      <protection/>
    </xf>
    <xf numFmtId="0" fontId="0" fillId="36" borderId="0" xfId="0" applyFill="1" applyBorder="1" applyAlignment="1" applyProtection="1">
      <alignment/>
      <protection/>
    </xf>
    <xf numFmtId="0" fontId="1" fillId="36" borderId="0" xfId="0" applyFont="1" applyFill="1" applyBorder="1" applyAlignment="1" applyProtection="1">
      <alignment horizontal="left"/>
      <protection/>
    </xf>
    <xf numFmtId="0" fontId="0" fillId="36" borderId="25" xfId="0" applyFill="1" applyBorder="1" applyAlignment="1" applyProtection="1">
      <alignment/>
      <protection/>
    </xf>
    <xf numFmtId="2" fontId="1" fillId="33" borderId="11" xfId="0" applyNumberFormat="1" applyFont="1" applyFill="1" applyBorder="1" applyAlignment="1" applyProtection="1">
      <alignment horizontal="right"/>
      <protection/>
    </xf>
    <xf numFmtId="0" fontId="10" fillId="33" borderId="26" xfId="0" applyFont="1" applyFill="1" applyBorder="1" applyAlignment="1" applyProtection="1">
      <alignment horizontal="right"/>
      <protection/>
    </xf>
    <xf numFmtId="0" fontId="10" fillId="33" borderId="26" xfId="0" applyFont="1" applyFill="1" applyBorder="1" applyAlignment="1" applyProtection="1">
      <alignment horizontal="left"/>
      <protection/>
    </xf>
    <xf numFmtId="0" fontId="10" fillId="33" borderId="27" xfId="0" applyFont="1" applyFill="1" applyBorder="1" applyAlignment="1" applyProtection="1">
      <alignment horizontal="left"/>
      <protection/>
    </xf>
    <xf numFmtId="2" fontId="1" fillId="33" borderId="26" xfId="0" applyNumberFormat="1" applyFont="1" applyFill="1" applyBorder="1" applyAlignment="1" applyProtection="1">
      <alignment horizontal="right"/>
      <protection/>
    </xf>
    <xf numFmtId="0" fontId="1" fillId="0" borderId="0" xfId="0" applyFont="1" applyAlignment="1" applyProtection="1">
      <alignment/>
      <protection/>
    </xf>
    <xf numFmtId="181" fontId="0" fillId="0" borderId="0" xfId="0" applyNumberFormat="1" applyFont="1" applyAlignment="1" applyProtection="1">
      <alignment/>
      <protection/>
    </xf>
    <xf numFmtId="186" fontId="0" fillId="0" borderId="0" xfId="0" applyNumberFormat="1" applyAlignment="1" applyProtection="1">
      <alignment/>
      <protection/>
    </xf>
    <xf numFmtId="2" fontId="26" fillId="33" borderId="10" xfId="0" applyNumberFormat="1" applyFont="1" applyFill="1" applyBorder="1" applyAlignment="1" applyProtection="1">
      <alignment horizontal="right"/>
      <protection hidden="1"/>
    </xf>
    <xf numFmtId="185" fontId="0" fillId="0" borderId="0" xfId="0" applyNumberFormat="1" applyAlignment="1" applyProtection="1">
      <alignment/>
      <protection/>
    </xf>
    <xf numFmtId="187" fontId="0" fillId="0" borderId="0" xfId="0" applyNumberFormat="1" applyAlignment="1" applyProtection="1">
      <alignment/>
      <protection/>
    </xf>
    <xf numFmtId="188" fontId="0" fillId="0" borderId="0" xfId="0" applyNumberFormat="1" applyAlignment="1" applyProtection="1">
      <alignment/>
      <protection/>
    </xf>
    <xf numFmtId="189" fontId="0" fillId="0" borderId="0" xfId="0" applyNumberFormat="1" applyAlignment="1" applyProtection="1">
      <alignment/>
      <protection/>
    </xf>
    <xf numFmtId="0" fontId="7" fillId="33" borderId="11" xfId="0" applyFont="1" applyFill="1" applyBorder="1" applyAlignment="1" applyProtection="1">
      <alignment/>
      <protection/>
    </xf>
    <xf numFmtId="0" fontId="22" fillId="33" borderId="26" xfId="0" applyFont="1" applyFill="1" applyBorder="1" applyAlignment="1" applyProtection="1">
      <alignment horizontal="left"/>
      <protection/>
    </xf>
    <xf numFmtId="2" fontId="0" fillId="0" borderId="11" xfId="0" applyNumberFormat="1" applyFont="1" applyFill="1" applyBorder="1" applyAlignment="1" applyProtection="1">
      <alignment horizontal="right"/>
      <protection/>
    </xf>
    <xf numFmtId="0" fontId="22" fillId="33" borderId="27" xfId="0" applyFont="1" applyFill="1" applyBorder="1" applyAlignment="1" applyProtection="1">
      <alignment horizontal="left"/>
      <protection/>
    </xf>
    <xf numFmtId="0" fontId="10" fillId="33" borderId="10" xfId="0" applyFont="1" applyFill="1" applyBorder="1" applyAlignment="1" applyProtection="1">
      <alignment horizontal="right"/>
      <protection/>
    </xf>
    <xf numFmtId="190" fontId="3" fillId="33" borderId="0" xfId="0" applyNumberFormat="1" applyFont="1" applyFill="1" applyBorder="1" applyAlignment="1" applyProtection="1">
      <alignment horizontal="left"/>
      <protection/>
    </xf>
    <xf numFmtId="190" fontId="3" fillId="33" borderId="28" xfId="0" applyNumberFormat="1" applyFont="1" applyFill="1" applyBorder="1" applyAlignment="1" applyProtection="1">
      <alignment horizontal="left"/>
      <protection/>
    </xf>
    <xf numFmtId="2" fontId="0" fillId="33" borderId="10" xfId="0" applyNumberFormat="1" applyFill="1" applyBorder="1" applyAlignment="1" applyProtection="1">
      <alignment horizontal="right"/>
      <protection/>
    </xf>
    <xf numFmtId="191" fontId="3" fillId="33" borderId="0" xfId="0" applyNumberFormat="1" applyFont="1" applyFill="1" applyBorder="1" applyAlignment="1" applyProtection="1">
      <alignment horizontal="left"/>
      <protection/>
    </xf>
    <xf numFmtId="2" fontId="0" fillId="0" borderId="10" xfId="0" applyNumberFormat="1" applyFill="1" applyBorder="1" applyAlignment="1" applyProtection="1">
      <alignment horizontal="right"/>
      <protection/>
    </xf>
    <xf numFmtId="191" fontId="3" fillId="33" borderId="28" xfId="0" applyNumberFormat="1" applyFont="1" applyFill="1" applyBorder="1" applyAlignment="1" applyProtection="1">
      <alignment horizontal="left"/>
      <protection/>
    </xf>
    <xf numFmtId="2" fontId="0" fillId="33" borderId="0" xfId="0" applyNumberFormat="1" applyFill="1" applyBorder="1" applyAlignment="1" applyProtection="1">
      <alignment horizontal="right"/>
      <protection/>
    </xf>
    <xf numFmtId="192" fontId="10" fillId="33" borderId="10" xfId="0" applyNumberFormat="1" applyFont="1" applyFill="1" applyBorder="1" applyAlignment="1" applyProtection="1">
      <alignment horizontal="right"/>
      <protection/>
    </xf>
    <xf numFmtId="3" fontId="3" fillId="33" borderId="0" xfId="0" applyNumberFormat="1" applyFont="1" applyFill="1" applyBorder="1" applyAlignment="1" applyProtection="1">
      <alignment horizontal="left"/>
      <protection/>
    </xf>
    <xf numFmtId="3" fontId="3" fillId="33" borderId="28" xfId="0" applyNumberFormat="1" applyFont="1" applyFill="1" applyBorder="1" applyAlignment="1" applyProtection="1">
      <alignment horizontal="left"/>
      <protection/>
    </xf>
    <xf numFmtId="192" fontId="0" fillId="0" borderId="0" xfId="0" applyNumberFormat="1" applyAlignment="1" applyProtection="1">
      <alignment/>
      <protection/>
    </xf>
    <xf numFmtId="3" fontId="10" fillId="33" borderId="26" xfId="0" applyNumberFormat="1" applyFont="1" applyFill="1" applyBorder="1" applyAlignment="1" applyProtection="1">
      <alignment horizontal="left"/>
      <protection/>
    </xf>
    <xf numFmtId="192" fontId="1" fillId="0" borderId="0" xfId="0" applyNumberFormat="1" applyFont="1" applyAlignment="1" applyProtection="1">
      <alignment/>
      <protection/>
    </xf>
    <xf numFmtId="3" fontId="10" fillId="33" borderId="0" xfId="0" applyNumberFormat="1" applyFont="1" applyFill="1" applyBorder="1" applyAlignment="1" applyProtection="1">
      <alignment horizontal="left"/>
      <protection/>
    </xf>
    <xf numFmtId="3" fontId="10" fillId="33" borderId="28" xfId="0" applyNumberFormat="1" applyFont="1" applyFill="1" applyBorder="1" applyAlignment="1" applyProtection="1">
      <alignment horizontal="left"/>
      <protection/>
    </xf>
    <xf numFmtId="168" fontId="10" fillId="0" borderId="10" xfId="0" applyNumberFormat="1" applyFont="1" applyBorder="1" applyAlignment="1" applyProtection="1">
      <alignment horizontal="right"/>
      <protection/>
    </xf>
    <xf numFmtId="168" fontId="1" fillId="0" borderId="0" xfId="0" applyNumberFormat="1" applyFont="1" applyAlignment="1" applyProtection="1">
      <alignment/>
      <protection/>
    </xf>
    <xf numFmtId="0" fontId="3" fillId="33" borderId="0" xfId="0" applyFont="1" applyFill="1" applyBorder="1" applyAlignment="1" applyProtection="1">
      <alignment horizontal="left"/>
      <protection/>
    </xf>
    <xf numFmtId="0" fontId="3" fillId="33" borderId="28" xfId="0" applyFont="1" applyFill="1" applyBorder="1" applyAlignment="1" applyProtection="1">
      <alignment horizontal="left"/>
      <protection/>
    </xf>
    <xf numFmtId="168" fontId="0" fillId="33" borderId="0" xfId="0" applyNumberFormat="1" applyFill="1" applyAlignment="1" applyProtection="1">
      <alignment/>
      <protection/>
    </xf>
    <xf numFmtId="3" fontId="3" fillId="33" borderId="29" xfId="0" applyNumberFormat="1" applyFont="1" applyFill="1" applyBorder="1" applyAlignment="1" applyProtection="1">
      <alignment horizontal="left"/>
      <protection/>
    </xf>
    <xf numFmtId="3" fontId="3" fillId="33" borderId="30" xfId="0" applyNumberFormat="1" applyFont="1" applyFill="1" applyBorder="1" applyAlignment="1" applyProtection="1">
      <alignment horizontal="left"/>
      <protection/>
    </xf>
    <xf numFmtId="3" fontId="0" fillId="0" borderId="10" xfId="0" applyNumberFormat="1" applyBorder="1" applyAlignment="1" applyProtection="1">
      <alignment horizontal="right"/>
      <protection/>
    </xf>
    <xf numFmtId="3" fontId="0" fillId="0" borderId="10" xfId="0" applyNumberFormat="1" applyFill="1" applyBorder="1" applyAlignment="1" applyProtection="1">
      <alignment horizontal="right"/>
      <protection/>
    </xf>
    <xf numFmtId="168" fontId="0" fillId="0" borderId="0" xfId="0" applyNumberFormat="1" applyAlignment="1" applyProtection="1">
      <alignment/>
      <protection/>
    </xf>
    <xf numFmtId="202" fontId="10" fillId="0" borderId="12" xfId="0" applyNumberFormat="1" applyFont="1" applyFill="1" applyBorder="1" applyAlignment="1" applyProtection="1">
      <alignment horizontal="right"/>
      <protection/>
    </xf>
    <xf numFmtId="202" fontId="0" fillId="0" borderId="0" xfId="0" applyNumberFormat="1" applyAlignment="1" applyProtection="1">
      <alignment/>
      <protection/>
    </xf>
    <xf numFmtId="0" fontId="0" fillId="0" borderId="0" xfId="0" applyAlignment="1" applyProtection="1">
      <alignment horizontal="left"/>
      <protection/>
    </xf>
    <xf numFmtId="0" fontId="3" fillId="33" borderId="0" xfId="0" applyFont="1" applyFill="1" applyAlignment="1" applyProtection="1">
      <alignment/>
      <protection/>
    </xf>
    <xf numFmtId="2" fontId="0" fillId="0" borderId="0" xfId="0" applyNumberFormat="1" applyBorder="1" applyAlignment="1" applyProtection="1">
      <alignment/>
      <protection/>
    </xf>
    <xf numFmtId="2" fontId="0" fillId="0" borderId="0" xfId="0" applyNumberFormat="1" applyAlignment="1" applyProtection="1">
      <alignment/>
      <protection/>
    </xf>
    <xf numFmtId="0" fontId="3" fillId="33" borderId="0" xfId="0" applyFont="1" applyFill="1" applyAlignment="1" applyProtection="1">
      <alignment horizontal="left"/>
      <protection/>
    </xf>
    <xf numFmtId="2" fontId="0" fillId="0" borderId="0" xfId="0" applyNumberFormat="1" applyAlignment="1" applyProtection="1">
      <alignment horizontal="left"/>
      <protection/>
    </xf>
    <xf numFmtId="0" fontId="3" fillId="33" borderId="0" xfId="0" applyFont="1" applyFill="1" applyAlignment="1" applyProtection="1">
      <alignment horizontal="right"/>
      <protection/>
    </xf>
    <xf numFmtId="2" fontId="0" fillId="0" borderId="0" xfId="0" applyNumberFormat="1" applyFill="1" applyAlignment="1" applyProtection="1">
      <alignment/>
      <protection/>
    </xf>
    <xf numFmtId="2" fontId="0" fillId="0" borderId="0" xfId="0" applyNumberFormat="1" applyFill="1" applyBorder="1" applyAlignment="1" applyProtection="1">
      <alignment/>
      <protection/>
    </xf>
    <xf numFmtId="0" fontId="1" fillId="33" borderId="0" xfId="0" applyFont="1" applyFill="1" applyAlignment="1" applyProtection="1">
      <alignment horizontal="left"/>
      <protection/>
    </xf>
    <xf numFmtId="2" fontId="0" fillId="0" borderId="0" xfId="0" applyNumberFormat="1" applyAlignment="1" applyProtection="1">
      <alignment horizontal="right"/>
      <protection/>
    </xf>
    <xf numFmtId="2" fontId="9" fillId="33" borderId="0" xfId="0" applyNumberFormat="1" applyFont="1" applyFill="1" applyBorder="1" applyAlignment="1" applyProtection="1">
      <alignment/>
      <protection/>
    </xf>
    <xf numFmtId="0" fontId="22" fillId="33" borderId="0" xfId="0" applyFont="1" applyFill="1" applyBorder="1" applyAlignment="1" applyProtection="1">
      <alignment horizontal="left"/>
      <protection/>
    </xf>
    <xf numFmtId="2" fontId="1" fillId="33" borderId="0" xfId="0" applyNumberFormat="1" applyFont="1" applyFill="1" applyBorder="1" applyAlignment="1" applyProtection="1">
      <alignment horizontal="right"/>
      <protection/>
    </xf>
    <xf numFmtId="0" fontId="10" fillId="33" borderId="0" xfId="0" applyFont="1" applyFill="1" applyBorder="1" applyAlignment="1" applyProtection="1">
      <alignment horizontal="right"/>
      <protection/>
    </xf>
    <xf numFmtId="2" fontId="0" fillId="0" borderId="0" xfId="0" applyNumberFormat="1" applyFont="1" applyFill="1" applyBorder="1" applyAlignment="1" applyProtection="1">
      <alignment/>
      <protection/>
    </xf>
    <xf numFmtId="0" fontId="0" fillId="0" borderId="11" xfId="0" applyBorder="1" applyAlignment="1" applyProtection="1">
      <alignment/>
      <protection/>
    </xf>
    <xf numFmtId="0" fontId="0" fillId="0" borderId="26" xfId="0" applyBorder="1" applyAlignment="1" applyProtection="1">
      <alignment/>
      <protection/>
    </xf>
    <xf numFmtId="0" fontId="0" fillId="34" borderId="10" xfId="0" applyFill="1" applyBorder="1" applyAlignment="1" applyProtection="1">
      <alignment/>
      <protection/>
    </xf>
    <xf numFmtId="0" fontId="0" fillId="0" borderId="0" xfId="0" applyBorder="1" applyAlignment="1" applyProtection="1">
      <alignment/>
      <protection/>
    </xf>
    <xf numFmtId="0" fontId="17" fillId="33" borderId="0" xfId="0" applyFont="1" applyFill="1" applyAlignment="1" applyProtection="1">
      <alignment/>
      <protection/>
    </xf>
    <xf numFmtId="0" fontId="0" fillId="34" borderId="0" xfId="0" applyFill="1" applyAlignment="1" applyProtection="1">
      <alignment/>
      <protection/>
    </xf>
    <xf numFmtId="0" fontId="0" fillId="35" borderId="0" xfId="0" applyFill="1" applyAlignment="1" applyProtection="1">
      <alignment/>
      <protection/>
    </xf>
    <xf numFmtId="0" fontId="0" fillId="34" borderId="10" xfId="0" applyFont="1" applyFill="1" applyBorder="1" applyAlignment="1" applyProtection="1">
      <alignment/>
      <protection/>
    </xf>
    <xf numFmtId="0" fontId="0" fillId="0" borderId="0" xfId="0" applyFont="1" applyBorder="1" applyAlignment="1" applyProtection="1">
      <alignment/>
      <protection/>
    </xf>
    <xf numFmtId="1" fontId="0" fillId="0" borderId="0" xfId="0" applyNumberFormat="1" applyBorder="1" applyAlignment="1" applyProtection="1">
      <alignment/>
      <protection/>
    </xf>
    <xf numFmtId="1" fontId="0" fillId="0" borderId="0" xfId="0" applyNumberFormat="1" applyFont="1" applyBorder="1" applyAlignment="1" applyProtection="1">
      <alignment/>
      <protection/>
    </xf>
    <xf numFmtId="1" fontId="0" fillId="0" borderId="29" xfId="0" applyNumberFormat="1" applyBorder="1" applyAlignment="1" applyProtection="1">
      <alignment/>
      <protection/>
    </xf>
    <xf numFmtId="0" fontId="0" fillId="0" borderId="29" xfId="0" applyBorder="1" applyAlignment="1" applyProtection="1">
      <alignment/>
      <protection/>
    </xf>
    <xf numFmtId="0" fontId="0" fillId="34" borderId="11" xfId="0" applyFill="1" applyBorder="1" applyAlignment="1" applyProtection="1">
      <alignment/>
      <protection/>
    </xf>
    <xf numFmtId="0" fontId="1" fillId="0" borderId="31" xfId="0" applyFont="1" applyBorder="1" applyAlignment="1" applyProtection="1">
      <alignment/>
      <protection/>
    </xf>
    <xf numFmtId="0" fontId="0" fillId="0" borderId="29" xfId="0" applyFont="1" applyBorder="1" applyAlignment="1" applyProtection="1">
      <alignment/>
      <protection/>
    </xf>
    <xf numFmtId="3" fontId="0" fillId="0" borderId="0" xfId="0" applyNumberFormat="1" applyFont="1" applyBorder="1" applyAlignment="1" applyProtection="1">
      <alignment/>
      <protection/>
    </xf>
    <xf numFmtId="3" fontId="0" fillId="0" borderId="0" xfId="0" applyNumberFormat="1" applyAlignment="1" applyProtection="1">
      <alignment/>
      <protection/>
    </xf>
    <xf numFmtId="3" fontId="24" fillId="0" borderId="0" xfId="0" applyNumberFormat="1" applyFont="1" applyBorder="1" applyAlignment="1" applyProtection="1">
      <alignment/>
      <protection/>
    </xf>
    <xf numFmtId="3" fontId="24" fillId="0" borderId="29" xfId="0" applyNumberFormat="1" applyFont="1" applyBorder="1" applyAlignment="1" applyProtection="1">
      <alignment/>
      <protection/>
    </xf>
    <xf numFmtId="3" fontId="0" fillId="0" borderId="29" xfId="0" applyNumberFormat="1" applyFont="1" applyBorder="1" applyAlignment="1" applyProtection="1">
      <alignment/>
      <protection/>
    </xf>
    <xf numFmtId="1" fontId="0" fillId="0" borderId="0" xfId="0" applyNumberForma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locked="0"/>
    </xf>
    <xf numFmtId="0" fontId="0" fillId="33" borderId="0" xfId="0" applyFill="1" applyAlignment="1" applyProtection="1">
      <alignment/>
      <protection locked="0"/>
    </xf>
    <xf numFmtId="0" fontId="0" fillId="0" borderId="0" xfId="0" applyFont="1" applyAlignment="1" applyProtection="1">
      <alignment/>
      <protection locked="0"/>
    </xf>
    <xf numFmtId="0" fontId="0" fillId="0" borderId="26" xfId="0" applyBorder="1" applyAlignment="1" applyProtection="1">
      <alignment/>
      <protection locked="0"/>
    </xf>
    <xf numFmtId="0" fontId="28" fillId="33" borderId="0" xfId="0" applyFont="1" applyFill="1" applyAlignment="1" applyProtection="1">
      <alignment/>
      <protection/>
    </xf>
    <xf numFmtId="0" fontId="28" fillId="33" borderId="0" xfId="0" applyFont="1" applyFill="1" applyBorder="1" applyAlignment="1" applyProtection="1">
      <alignment/>
      <protection/>
    </xf>
    <xf numFmtId="0" fontId="0" fillId="33" borderId="28" xfId="0" applyFill="1" applyBorder="1" applyAlignment="1" applyProtection="1">
      <alignment/>
      <protection/>
    </xf>
    <xf numFmtId="0" fontId="0" fillId="33" borderId="27" xfId="0" applyFill="1" applyBorder="1" applyAlignment="1" applyProtection="1">
      <alignment/>
      <protection/>
    </xf>
    <xf numFmtId="202" fontId="10" fillId="33" borderId="12" xfId="0" applyNumberFormat="1" applyFont="1" applyFill="1" applyBorder="1" applyAlignment="1" applyProtection="1">
      <alignment horizontal="right"/>
      <protection/>
    </xf>
    <xf numFmtId="0" fontId="0" fillId="33" borderId="10" xfId="0" applyFill="1" applyBorder="1" applyAlignment="1" applyProtection="1">
      <alignment/>
      <protection/>
    </xf>
    <xf numFmtId="0" fontId="0" fillId="33" borderId="26" xfId="0" applyFill="1" applyBorder="1" applyAlignment="1" applyProtection="1">
      <alignment/>
      <protection/>
    </xf>
    <xf numFmtId="3" fontId="0" fillId="33" borderId="0" xfId="0" applyNumberFormat="1" applyFill="1" applyAlignment="1" applyProtection="1">
      <alignment/>
      <protection/>
    </xf>
    <xf numFmtId="0" fontId="30" fillId="0" borderId="0" xfId="0" applyFont="1" applyAlignment="1" applyProtection="1">
      <alignment/>
      <protection/>
    </xf>
    <xf numFmtId="3" fontId="30" fillId="0" borderId="0" xfId="0" applyNumberFormat="1" applyFont="1" applyAlignment="1" applyProtection="1">
      <alignment/>
      <protection/>
    </xf>
    <xf numFmtId="3" fontId="0" fillId="35" borderId="10" xfId="0" applyNumberFormat="1" applyFill="1" applyBorder="1" applyAlignment="1" applyProtection="1">
      <alignment horizontal="right"/>
      <protection hidden="1"/>
    </xf>
    <xf numFmtId="3" fontId="0" fillId="35" borderId="0" xfId="0" applyNumberFormat="1" applyFill="1" applyBorder="1" applyAlignment="1" applyProtection="1">
      <alignment horizontal="right"/>
      <protection hidden="1"/>
    </xf>
    <xf numFmtId="2" fontId="1" fillId="34" borderId="10" xfId="0" applyNumberFormat="1" applyFont="1" applyFill="1" applyBorder="1" applyAlignment="1" applyProtection="1">
      <alignment horizontal="right"/>
      <protection hidden="1" locked="0"/>
    </xf>
    <xf numFmtId="0" fontId="1" fillId="37" borderId="0" xfId="0" applyFont="1" applyFill="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protection/>
    </xf>
    <xf numFmtId="0" fontId="15" fillId="37" borderId="0" xfId="0" applyFont="1" applyFill="1" applyBorder="1" applyAlignment="1" applyProtection="1">
      <alignment/>
      <protection/>
    </xf>
    <xf numFmtId="0" fontId="6" fillId="37" borderId="0" xfId="0" applyFont="1" applyFill="1" applyBorder="1" applyAlignment="1" applyProtection="1">
      <alignment/>
      <protection/>
    </xf>
    <xf numFmtId="2" fontId="0" fillId="19" borderId="0" xfId="0" applyNumberFormat="1" applyFill="1" applyBorder="1" applyAlignment="1" applyProtection="1">
      <alignment horizontal="right"/>
      <protection/>
    </xf>
    <xf numFmtId="2" fontId="1" fillId="38" borderId="10" xfId="0" applyNumberFormat="1" applyFont="1" applyFill="1" applyBorder="1" applyAlignment="1" applyProtection="1">
      <alignment horizontal="right"/>
      <protection hidden="1" locked="0"/>
    </xf>
    <xf numFmtId="2" fontId="1" fillId="38" borderId="10" xfId="0" applyNumberFormat="1" applyFont="1" applyFill="1" applyBorder="1" applyAlignment="1" applyProtection="1">
      <alignment horizontal="right"/>
      <protection hidden="1"/>
    </xf>
    <xf numFmtId="2" fontId="0" fillId="19" borderId="10" xfId="0" applyNumberFormat="1" applyFont="1" applyFill="1" applyBorder="1" applyAlignment="1" applyProtection="1">
      <alignment/>
      <protection/>
    </xf>
    <xf numFmtId="0" fontId="0" fillId="38" borderId="28" xfId="0" applyFont="1" applyFill="1" applyBorder="1" applyAlignment="1" applyProtection="1">
      <alignment/>
      <protection/>
    </xf>
    <xf numFmtId="2" fontId="0" fillId="19" borderId="12" xfId="0" applyNumberFormat="1" applyFont="1" applyFill="1" applyBorder="1" applyAlignment="1" applyProtection="1">
      <alignment/>
      <protection/>
    </xf>
    <xf numFmtId="0" fontId="0" fillId="38" borderId="30" xfId="0" applyFont="1" applyFill="1" applyBorder="1" applyAlignment="1" applyProtection="1">
      <alignment/>
      <protection/>
    </xf>
    <xf numFmtId="0" fontId="0" fillId="38" borderId="27" xfId="0" applyFill="1" applyBorder="1" applyAlignment="1" applyProtection="1">
      <alignment/>
      <protection/>
    </xf>
    <xf numFmtId="0" fontId="0" fillId="38" borderId="28" xfId="0" applyFill="1" applyBorder="1" applyAlignment="1" applyProtection="1">
      <alignment/>
      <protection/>
    </xf>
    <xf numFmtId="0" fontId="0" fillId="38" borderId="30" xfId="0" applyFill="1" applyBorder="1" applyAlignment="1" applyProtection="1">
      <alignment/>
      <protection/>
    </xf>
    <xf numFmtId="0" fontId="0" fillId="34" borderId="11" xfId="0" applyFont="1" applyFill="1" applyBorder="1" applyAlignment="1" applyProtection="1">
      <alignment/>
      <protection/>
    </xf>
    <xf numFmtId="1" fontId="0" fillId="19" borderId="10" xfId="0" applyNumberFormat="1" applyFont="1" applyFill="1" applyBorder="1" applyAlignment="1" applyProtection="1">
      <alignment/>
      <protection/>
    </xf>
    <xf numFmtId="1" fontId="0" fillId="19" borderId="12" xfId="0" applyNumberFormat="1" applyFont="1" applyFill="1" applyBorder="1" applyAlignment="1" applyProtection="1">
      <alignment/>
      <protection/>
    </xf>
    <xf numFmtId="0" fontId="77" fillId="38" borderId="0" xfId="0" applyFont="1" applyFill="1" applyAlignment="1" applyProtection="1">
      <alignment/>
      <protection/>
    </xf>
    <xf numFmtId="0" fontId="78" fillId="38" borderId="0" xfId="0" applyFont="1" applyFill="1" applyAlignment="1" applyProtection="1">
      <alignment/>
      <protection/>
    </xf>
    <xf numFmtId="3" fontId="77" fillId="38" borderId="0" xfId="0" applyNumberFormat="1" applyFont="1" applyFill="1" applyAlignment="1" applyProtection="1">
      <alignment/>
      <protection hidden="1"/>
    </xf>
    <xf numFmtId="0" fontId="77" fillId="38" borderId="0" xfId="0" applyFont="1" applyFill="1" applyAlignment="1" applyProtection="1">
      <alignment/>
      <protection hidden="1"/>
    </xf>
    <xf numFmtId="0" fontId="78" fillId="38" borderId="0" xfId="0" applyFont="1" applyFill="1" applyAlignment="1" applyProtection="1">
      <alignment/>
      <protection hidden="1"/>
    </xf>
    <xf numFmtId="0" fontId="0" fillId="19" borderId="10" xfId="0" applyFill="1" applyBorder="1" applyAlignment="1" applyProtection="1">
      <alignment/>
      <protection/>
    </xf>
    <xf numFmtId="0" fontId="0" fillId="19" borderId="12" xfId="0" applyFill="1" applyBorder="1" applyAlignment="1" applyProtection="1">
      <alignment/>
      <protection/>
    </xf>
    <xf numFmtId="0" fontId="0" fillId="38" borderId="0" xfId="0" applyFill="1" applyAlignment="1" applyProtection="1">
      <alignment/>
      <protection/>
    </xf>
    <xf numFmtId="0" fontId="0" fillId="38" borderId="10" xfId="0" applyFill="1" applyBorder="1" applyAlignment="1" applyProtection="1">
      <alignment/>
      <protection/>
    </xf>
    <xf numFmtId="0" fontId="0" fillId="38" borderId="11" xfId="0" applyFill="1" applyBorder="1" applyAlignment="1" applyProtection="1">
      <alignment/>
      <protection/>
    </xf>
    <xf numFmtId="1" fontId="0" fillId="19" borderId="10" xfId="0" applyNumberFormat="1" applyFill="1" applyBorder="1" applyAlignment="1" applyProtection="1">
      <alignment/>
      <protection/>
    </xf>
    <xf numFmtId="1" fontId="0" fillId="19" borderId="12" xfId="0" applyNumberFormat="1" applyFill="1" applyBorder="1" applyAlignment="1" applyProtection="1">
      <alignment/>
      <protection/>
    </xf>
    <xf numFmtId="0" fontId="0" fillId="0" borderId="0" xfId="0" applyFill="1" applyBorder="1" applyAlignment="1" applyProtection="1">
      <alignment/>
      <protection/>
    </xf>
    <xf numFmtId="0" fontId="0" fillId="38" borderId="0" xfId="0" applyFill="1" applyBorder="1" applyAlignment="1" applyProtection="1">
      <alignment/>
      <protection/>
    </xf>
    <xf numFmtId="0" fontId="1" fillId="39" borderId="0" xfId="0" applyFont="1" applyFill="1" applyBorder="1" applyAlignment="1" applyProtection="1">
      <alignment/>
      <protection/>
    </xf>
    <xf numFmtId="0" fontId="0" fillId="39" borderId="0" xfId="0" applyFont="1" applyFill="1" applyBorder="1" applyAlignment="1" applyProtection="1">
      <alignment/>
      <protection/>
    </xf>
    <xf numFmtId="0" fontId="1" fillId="40" borderId="0" xfId="0" applyFont="1" applyFill="1" applyBorder="1" applyAlignment="1" applyProtection="1">
      <alignment/>
      <protection/>
    </xf>
    <xf numFmtId="0" fontId="0" fillId="40" borderId="0" xfId="0" applyFill="1" applyBorder="1" applyAlignment="1" applyProtection="1">
      <alignment/>
      <protection/>
    </xf>
    <xf numFmtId="2" fontId="1" fillId="39" borderId="14" xfId="0" applyNumberFormat="1" applyFont="1" applyFill="1" applyBorder="1" applyAlignment="1" applyProtection="1">
      <alignment horizontal="right"/>
      <protection hidden="1" locked="0"/>
    </xf>
    <xf numFmtId="2" fontId="0" fillId="34" borderId="13" xfId="0" applyNumberFormat="1" applyFont="1" applyFill="1" applyBorder="1" applyAlignment="1" applyProtection="1">
      <alignment/>
      <protection locked="0"/>
    </xf>
    <xf numFmtId="3" fontId="1" fillId="34" borderId="10" xfId="0" applyNumberFormat="1" applyFont="1" applyFill="1" applyBorder="1" applyAlignment="1" applyProtection="1">
      <alignment horizontal="right"/>
      <protection hidden="1" locked="0"/>
    </xf>
    <xf numFmtId="3" fontId="1" fillId="35" borderId="32" xfId="0" applyNumberFormat="1" applyFont="1" applyFill="1" applyBorder="1" applyAlignment="1" applyProtection="1">
      <alignment horizontal="right"/>
      <protection hidden="1"/>
    </xf>
    <xf numFmtId="2" fontId="0" fillId="0" borderId="11" xfId="0" applyNumberFormat="1" applyFont="1" applyBorder="1" applyAlignment="1" applyProtection="1">
      <alignment horizontal="right"/>
      <protection/>
    </xf>
    <xf numFmtId="2" fontId="0" fillId="0" borderId="26" xfId="0" applyNumberFormat="1" applyFont="1" applyBorder="1" applyAlignment="1" applyProtection="1">
      <alignment horizontal="right"/>
      <protection/>
    </xf>
    <xf numFmtId="2" fontId="0" fillId="0" borderId="10" xfId="0" applyNumberFormat="1" applyFont="1" applyBorder="1" applyAlignment="1" applyProtection="1">
      <alignment horizontal="right"/>
      <protection/>
    </xf>
    <xf numFmtId="0" fontId="22" fillId="33" borderId="28" xfId="0" applyFont="1" applyFill="1" applyBorder="1" applyAlignment="1" applyProtection="1">
      <alignment horizontal="left"/>
      <protection/>
    </xf>
    <xf numFmtId="3" fontId="0" fillId="41" borderId="14" xfId="0" applyNumberFormat="1" applyFill="1" applyBorder="1" applyAlignment="1" applyProtection="1">
      <alignment horizontal="right"/>
      <protection hidden="1"/>
    </xf>
    <xf numFmtId="2" fontId="0" fillId="33" borderId="12" xfId="0" applyNumberFormat="1" applyFill="1" applyBorder="1" applyAlignment="1" applyProtection="1">
      <alignment horizontal="right"/>
      <protection/>
    </xf>
    <xf numFmtId="191" fontId="3" fillId="33" borderId="30" xfId="0" applyNumberFormat="1" applyFont="1" applyFill="1" applyBorder="1" applyAlignment="1" applyProtection="1">
      <alignment horizontal="left"/>
      <protection/>
    </xf>
    <xf numFmtId="3" fontId="1" fillId="39" borderId="13" xfId="0" applyNumberFormat="1" applyFont="1" applyFill="1" applyBorder="1" applyAlignment="1" applyProtection="1">
      <alignment horizontal="right"/>
      <protection hidden="1" locked="0"/>
    </xf>
    <xf numFmtId="3" fontId="1" fillId="34" borderId="18" xfId="0" applyNumberFormat="1" applyFont="1" applyFill="1" applyBorder="1" applyAlignment="1" applyProtection="1">
      <alignment horizontal="right"/>
      <protection hidden="1" locked="0"/>
    </xf>
    <xf numFmtId="2" fontId="0" fillId="33" borderId="11" xfId="0" applyNumberFormat="1" applyFill="1" applyBorder="1" applyAlignment="1" applyProtection="1">
      <alignment horizontal="right"/>
      <protection/>
    </xf>
    <xf numFmtId="0" fontId="3" fillId="33" borderId="27" xfId="0" applyFont="1" applyFill="1" applyBorder="1" applyAlignment="1" applyProtection="1">
      <alignment horizontal="left"/>
      <protection/>
    </xf>
    <xf numFmtId="0" fontId="1" fillId="33" borderId="10" xfId="0" applyFont="1" applyFill="1" applyBorder="1" applyAlignment="1" applyProtection="1">
      <alignment/>
      <protection/>
    </xf>
    <xf numFmtId="0" fontId="0" fillId="39" borderId="12" xfId="0" applyFont="1" applyFill="1" applyBorder="1" applyAlignment="1" applyProtection="1">
      <alignment/>
      <protection/>
    </xf>
    <xf numFmtId="0" fontId="0" fillId="39" borderId="12" xfId="0" applyFill="1" applyBorder="1" applyAlignment="1" applyProtection="1">
      <alignment/>
      <protection/>
    </xf>
    <xf numFmtId="4" fontId="0" fillId="34" borderId="13" xfId="0" applyNumberFormat="1" applyFill="1" applyBorder="1" applyAlignment="1" applyProtection="1">
      <alignment/>
      <protection locked="0"/>
    </xf>
    <xf numFmtId="0" fontId="0" fillId="39" borderId="0" xfId="0" applyFill="1" applyAlignment="1" applyProtection="1">
      <alignment/>
      <protection/>
    </xf>
    <xf numFmtId="0" fontId="0" fillId="38" borderId="0" xfId="0" applyFont="1" applyFill="1" applyAlignment="1" applyProtection="1">
      <alignment/>
      <protection/>
    </xf>
    <xf numFmtId="3" fontId="1" fillId="39" borderId="14" xfId="0" applyNumberFormat="1" applyFont="1" applyFill="1" applyBorder="1" applyAlignment="1" applyProtection="1">
      <alignment horizontal="right"/>
      <protection hidden="1" locked="0"/>
    </xf>
    <xf numFmtId="0" fontId="79" fillId="33" borderId="0" xfId="0" applyFont="1" applyFill="1" applyBorder="1" applyAlignment="1" applyProtection="1">
      <alignment/>
      <protection/>
    </xf>
    <xf numFmtId="165" fontId="0" fillId="34" borderId="10" xfId="0" applyNumberFormat="1" applyFill="1" applyBorder="1" applyAlignment="1" applyProtection="1">
      <alignment/>
      <protection/>
    </xf>
    <xf numFmtId="0" fontId="0" fillId="37" borderId="0" xfId="0" applyFill="1" applyAlignment="1" applyProtection="1">
      <alignment/>
      <protection/>
    </xf>
    <xf numFmtId="3" fontId="0" fillId="19" borderId="0" xfId="0" applyNumberFormat="1" applyFont="1" applyFill="1" applyBorder="1" applyAlignment="1" applyProtection="1">
      <alignment/>
      <protection/>
    </xf>
    <xf numFmtId="3" fontId="0" fillId="19" borderId="0" xfId="0" applyNumberFormat="1" applyFill="1" applyBorder="1" applyAlignment="1" applyProtection="1">
      <alignment/>
      <protection/>
    </xf>
    <xf numFmtId="3" fontId="0" fillId="33" borderId="0" xfId="0" applyNumberFormat="1" applyFill="1" applyBorder="1" applyAlignment="1" applyProtection="1">
      <alignment/>
      <protection/>
    </xf>
    <xf numFmtId="3" fontId="0" fillId="40" borderId="0" xfId="0" applyNumberFormat="1" applyFill="1" applyBorder="1" applyAlignment="1" applyProtection="1">
      <alignment/>
      <protection/>
    </xf>
    <xf numFmtId="3" fontId="0" fillId="38" borderId="0" xfId="0" applyNumberFormat="1" applyFill="1" applyBorder="1" applyAlignment="1" applyProtection="1">
      <alignment/>
      <protection/>
    </xf>
    <xf numFmtId="3" fontId="13" fillId="19" borderId="0" xfId="0" applyNumberFormat="1" applyFont="1" applyFill="1" applyBorder="1" applyAlignment="1" applyProtection="1">
      <alignment/>
      <protection/>
    </xf>
    <xf numFmtId="0" fontId="0" fillId="39" borderId="0" xfId="0" applyFill="1" applyBorder="1" applyAlignment="1" applyProtection="1">
      <alignment/>
      <protection/>
    </xf>
    <xf numFmtId="0" fontId="2" fillId="33" borderId="0" xfId="0" applyFont="1" applyFill="1" applyBorder="1" applyAlignment="1" applyProtection="1">
      <alignment/>
      <protection/>
    </xf>
    <xf numFmtId="188" fontId="19" fillId="33" borderId="10" xfId="0" applyNumberFormat="1" applyFont="1" applyFill="1" applyBorder="1" applyAlignment="1" applyProtection="1">
      <alignment horizontal="right"/>
      <protection/>
    </xf>
    <xf numFmtId="3" fontId="0" fillId="35" borderId="10" xfId="0" applyNumberFormat="1" applyFont="1" applyFill="1" applyBorder="1" applyAlignment="1" applyProtection="1">
      <alignment horizontal="right"/>
      <protection/>
    </xf>
    <xf numFmtId="189" fontId="19" fillId="33" borderId="10" xfId="0" applyNumberFormat="1" applyFont="1" applyFill="1" applyBorder="1" applyAlignment="1" applyProtection="1">
      <alignment horizontal="right"/>
      <protection/>
    </xf>
    <xf numFmtId="3" fontId="0" fillId="35" borderId="0" xfId="0" applyNumberFormat="1" applyFont="1" applyFill="1" applyBorder="1" applyAlignment="1" applyProtection="1">
      <alignment horizontal="right"/>
      <protection/>
    </xf>
    <xf numFmtId="189" fontId="19" fillId="33" borderId="12" xfId="0" applyNumberFormat="1" applyFont="1" applyFill="1" applyBorder="1" applyAlignment="1" applyProtection="1">
      <alignment horizontal="right"/>
      <protection/>
    </xf>
    <xf numFmtId="3" fontId="0" fillId="35" borderId="12" xfId="0" applyNumberFormat="1" applyFont="1" applyFill="1" applyBorder="1" applyAlignment="1" applyProtection="1">
      <alignment horizontal="right"/>
      <protection/>
    </xf>
    <xf numFmtId="3" fontId="0" fillId="35" borderId="29" xfId="0" applyNumberFormat="1" applyFont="1" applyFill="1" applyBorder="1" applyAlignment="1" applyProtection="1">
      <alignment horizontal="right"/>
      <protection/>
    </xf>
    <xf numFmtId="181" fontId="14" fillId="33" borderId="10" xfId="0" applyNumberFormat="1" applyFont="1" applyFill="1" applyBorder="1" applyAlignment="1" applyProtection="1" quotePrefix="1">
      <alignment horizontal="right"/>
      <protection/>
    </xf>
    <xf numFmtId="2" fontId="0" fillId="35" borderId="10" xfId="0" applyNumberFormat="1" applyFont="1" applyFill="1" applyBorder="1" applyAlignment="1" applyProtection="1">
      <alignment horizontal="right"/>
      <protection/>
    </xf>
    <xf numFmtId="181" fontId="3" fillId="33" borderId="28" xfId="0" applyNumberFormat="1" applyFont="1" applyFill="1" applyBorder="1" applyAlignment="1" applyProtection="1">
      <alignment horizontal="left"/>
      <protection/>
    </xf>
    <xf numFmtId="2" fontId="0" fillId="35" borderId="0" xfId="0" applyNumberFormat="1" applyFont="1" applyFill="1" applyBorder="1" applyAlignment="1" applyProtection="1">
      <alignment horizontal="right"/>
      <protection/>
    </xf>
    <xf numFmtId="181" fontId="3" fillId="33" borderId="0" xfId="0" applyNumberFormat="1" applyFont="1" applyFill="1" applyBorder="1" applyAlignment="1" applyProtection="1">
      <alignment horizontal="left"/>
      <protection/>
    </xf>
    <xf numFmtId="0" fontId="7" fillId="33" borderId="10" xfId="0" applyFont="1" applyFill="1" applyBorder="1" applyAlignment="1" applyProtection="1">
      <alignment/>
      <protection/>
    </xf>
    <xf numFmtId="0" fontId="19" fillId="33" borderId="10" xfId="0" applyFont="1" applyFill="1" applyBorder="1" applyAlignment="1" applyProtection="1">
      <alignment horizontal="right"/>
      <protection/>
    </xf>
    <xf numFmtId="200" fontId="19" fillId="33" borderId="10" xfId="0" applyNumberFormat="1" applyFont="1" applyFill="1" applyBorder="1" applyAlignment="1" applyProtection="1">
      <alignment/>
      <protection/>
    </xf>
    <xf numFmtId="3" fontId="0" fillId="19" borderId="10" xfId="0" applyNumberFormat="1" applyFill="1" applyBorder="1" applyAlignment="1" applyProtection="1">
      <alignment horizontal="right"/>
      <protection/>
    </xf>
    <xf numFmtId="200" fontId="19" fillId="33" borderId="12" xfId="0" applyNumberFormat="1" applyFont="1" applyFill="1" applyBorder="1" applyAlignment="1" applyProtection="1">
      <alignment/>
      <protection/>
    </xf>
    <xf numFmtId="3" fontId="0" fillId="19" borderId="12" xfId="0" applyNumberFormat="1" applyFill="1" applyBorder="1" applyAlignment="1" applyProtection="1">
      <alignment horizontal="right"/>
      <protection/>
    </xf>
    <xf numFmtId="0" fontId="7" fillId="0" borderId="10" xfId="0" applyFont="1" applyFill="1" applyBorder="1" applyAlignment="1" applyProtection="1">
      <alignment/>
      <protection/>
    </xf>
    <xf numFmtId="3" fontId="0" fillId="33" borderId="10" xfId="0" applyNumberFormat="1" applyFill="1" applyBorder="1" applyAlignment="1" applyProtection="1">
      <alignment horizontal="right"/>
      <protection/>
    </xf>
    <xf numFmtId="168" fontId="19" fillId="0" borderId="10" xfId="0" applyNumberFormat="1" applyFont="1" applyFill="1" applyBorder="1" applyAlignment="1" applyProtection="1">
      <alignment horizontal="right" wrapText="1"/>
      <protection/>
    </xf>
    <xf numFmtId="3" fontId="1" fillId="35" borderId="10" xfId="0" applyNumberFormat="1" applyFont="1" applyFill="1" applyBorder="1" applyAlignment="1" applyProtection="1">
      <alignment horizontal="right" vertical="center"/>
      <protection/>
    </xf>
    <xf numFmtId="3" fontId="10" fillId="33" borderId="28" xfId="0" applyNumberFormat="1" applyFont="1" applyFill="1" applyBorder="1" applyAlignment="1" applyProtection="1">
      <alignment horizontal="left" vertical="center"/>
      <protection/>
    </xf>
    <xf numFmtId="3" fontId="10" fillId="33" borderId="0" xfId="0" applyNumberFormat="1" applyFont="1" applyFill="1" applyBorder="1" applyAlignment="1" applyProtection="1">
      <alignment horizontal="left" vertical="center"/>
      <protection/>
    </xf>
    <xf numFmtId="3" fontId="1" fillId="35"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right"/>
      <protection/>
    </xf>
    <xf numFmtId="3" fontId="1" fillId="42" borderId="10" xfId="0" applyNumberFormat="1" applyFont="1" applyFill="1" applyBorder="1" applyAlignment="1" applyProtection="1">
      <alignment horizontal="right"/>
      <protection/>
    </xf>
    <xf numFmtId="3" fontId="80" fillId="33" borderId="28" xfId="0" applyNumberFormat="1" applyFont="1" applyFill="1" applyBorder="1" applyAlignment="1" applyProtection="1">
      <alignment horizontal="left"/>
      <protection/>
    </xf>
    <xf numFmtId="3" fontId="1" fillId="35" borderId="12" xfId="0" applyNumberFormat="1" applyFont="1" applyFill="1" applyBorder="1" applyAlignment="1" applyProtection="1">
      <alignment horizontal="right"/>
      <protection/>
    </xf>
    <xf numFmtId="3" fontId="10" fillId="33" borderId="30" xfId="0" applyNumberFormat="1" applyFont="1" applyFill="1" applyBorder="1" applyAlignment="1" applyProtection="1">
      <alignment horizontal="left"/>
      <protection/>
    </xf>
    <xf numFmtId="3" fontId="10" fillId="33" borderId="29" xfId="0" applyNumberFormat="1" applyFont="1" applyFill="1" applyBorder="1" applyAlignment="1" applyProtection="1">
      <alignment horizontal="left"/>
      <protection/>
    </xf>
    <xf numFmtId="3" fontId="1" fillId="35" borderId="29" xfId="0" applyNumberFormat="1" applyFont="1" applyFill="1" applyBorder="1" applyAlignment="1" applyProtection="1">
      <alignment horizontal="right"/>
      <protection/>
    </xf>
    <xf numFmtId="177" fontId="10" fillId="33" borderId="28" xfId="0" applyNumberFormat="1" applyFont="1" applyFill="1" applyBorder="1" applyAlignment="1" applyProtection="1">
      <alignment horizontal="left"/>
      <protection/>
    </xf>
    <xf numFmtId="186" fontId="10" fillId="33" borderId="28" xfId="0" applyNumberFormat="1" applyFont="1" applyFill="1" applyBorder="1" applyAlignment="1" applyProtection="1">
      <alignment horizontal="left"/>
      <protection/>
    </xf>
    <xf numFmtId="182" fontId="10" fillId="38" borderId="28" xfId="0" applyNumberFormat="1" applyFont="1" applyFill="1" applyBorder="1" applyAlignment="1" applyProtection="1">
      <alignment horizontal="left"/>
      <protection/>
    </xf>
    <xf numFmtId="185" fontId="27" fillId="33" borderId="28" xfId="0" applyNumberFormat="1" applyFont="1" applyFill="1" applyBorder="1" applyAlignment="1" applyProtection="1">
      <alignment horizontal="left"/>
      <protection/>
    </xf>
    <xf numFmtId="187" fontId="10" fillId="33" borderId="28" xfId="0" applyNumberFormat="1" applyFont="1" applyFill="1" applyBorder="1" applyAlignment="1" applyProtection="1">
      <alignment horizontal="left"/>
      <protection/>
    </xf>
    <xf numFmtId="3" fontId="10" fillId="33" borderId="27" xfId="0" applyNumberFormat="1" applyFont="1" applyFill="1" applyBorder="1" applyAlignment="1" applyProtection="1">
      <alignment horizontal="left"/>
      <protection/>
    </xf>
    <xf numFmtId="187" fontId="3" fillId="33" borderId="28" xfId="0" applyNumberFormat="1" applyFont="1" applyFill="1" applyBorder="1" applyAlignment="1" applyProtection="1">
      <alignment horizontal="left"/>
      <protection/>
    </xf>
    <xf numFmtId="187" fontId="3" fillId="33" borderId="30" xfId="0" applyNumberFormat="1" applyFont="1" applyFill="1" applyBorder="1" applyAlignment="1" applyProtection="1">
      <alignment horizontal="left"/>
      <protection/>
    </xf>
    <xf numFmtId="177" fontId="10" fillId="33" borderId="0" xfId="0" applyNumberFormat="1" applyFont="1" applyFill="1" applyBorder="1" applyAlignment="1" applyProtection="1">
      <alignment horizontal="left"/>
      <protection/>
    </xf>
    <xf numFmtId="186" fontId="3" fillId="33" borderId="0" xfId="0" applyNumberFormat="1" applyFont="1" applyFill="1" applyBorder="1" applyAlignment="1" applyProtection="1">
      <alignment horizontal="left"/>
      <protection/>
    </xf>
    <xf numFmtId="182" fontId="3" fillId="33" borderId="0" xfId="0" applyNumberFormat="1" applyFont="1" applyFill="1" applyBorder="1" applyAlignment="1" applyProtection="1">
      <alignment horizontal="left"/>
      <protection/>
    </xf>
    <xf numFmtId="185" fontId="3" fillId="33" borderId="0" xfId="0" applyNumberFormat="1" applyFont="1" applyFill="1" applyBorder="1" applyAlignment="1" applyProtection="1">
      <alignment horizontal="left"/>
      <protection/>
    </xf>
    <xf numFmtId="187" fontId="10" fillId="33" borderId="0" xfId="0" applyNumberFormat="1" applyFont="1" applyFill="1" applyBorder="1" applyAlignment="1" applyProtection="1">
      <alignment horizontal="left"/>
      <protection/>
    </xf>
    <xf numFmtId="187" fontId="10" fillId="33" borderId="30" xfId="0" applyNumberFormat="1" applyFont="1" applyFill="1" applyBorder="1" applyAlignment="1" applyProtection="1">
      <alignment horizontal="left"/>
      <protection/>
    </xf>
    <xf numFmtId="187" fontId="3" fillId="33" borderId="0" xfId="0" applyNumberFormat="1" applyFont="1" applyFill="1" applyBorder="1" applyAlignment="1" applyProtection="1">
      <alignment horizontal="left"/>
      <protection/>
    </xf>
    <xf numFmtId="187" fontId="3" fillId="33" borderId="29" xfId="0" applyNumberFormat="1" applyFont="1" applyFill="1" applyBorder="1" applyAlignment="1" applyProtection="1">
      <alignment horizontal="left"/>
      <protection/>
    </xf>
    <xf numFmtId="186" fontId="19" fillId="33" borderId="10" xfId="0" applyNumberFormat="1" applyFont="1" applyFill="1" applyBorder="1" applyAlignment="1" applyProtection="1">
      <alignment horizontal="right"/>
      <protection/>
    </xf>
    <xf numFmtId="185" fontId="19" fillId="33" borderId="10" xfId="0" applyNumberFormat="1" applyFont="1" applyFill="1" applyBorder="1" applyAlignment="1" applyProtection="1">
      <alignment horizontal="right"/>
      <protection/>
    </xf>
    <xf numFmtId="187" fontId="19" fillId="33" borderId="10" xfId="0" applyNumberFormat="1" applyFont="1" applyFill="1" applyBorder="1" applyAlignment="1" applyProtection="1">
      <alignment horizontal="right"/>
      <protection/>
    </xf>
    <xf numFmtId="168" fontId="7" fillId="33" borderId="11" xfId="0" applyNumberFormat="1" applyFont="1" applyFill="1" applyBorder="1" applyAlignment="1" applyProtection="1">
      <alignment/>
      <protection/>
    </xf>
    <xf numFmtId="187" fontId="19" fillId="33" borderId="10" xfId="0" applyNumberFormat="1" applyFont="1" applyFill="1" applyBorder="1" applyAlignment="1" applyProtection="1">
      <alignment horizontal="right" wrapText="1"/>
      <protection/>
    </xf>
    <xf numFmtId="187" fontId="19" fillId="33" borderId="12" xfId="0" applyNumberFormat="1" applyFont="1" applyFill="1" applyBorder="1" applyAlignment="1" applyProtection="1">
      <alignment horizontal="right"/>
      <protection/>
    </xf>
    <xf numFmtId="200" fontId="23" fillId="33" borderId="10" xfId="0" applyNumberFormat="1" applyFont="1" applyFill="1" applyBorder="1" applyAlignment="1" applyProtection="1">
      <alignment/>
      <protection/>
    </xf>
    <xf numFmtId="200" fontId="23" fillId="33" borderId="12" xfId="0" applyNumberFormat="1" applyFont="1" applyFill="1" applyBorder="1" applyAlignment="1" applyProtection="1">
      <alignment/>
      <protection/>
    </xf>
    <xf numFmtId="0" fontId="7" fillId="0" borderId="11" xfId="0" applyFont="1" applyFill="1" applyBorder="1" applyAlignment="1" applyProtection="1">
      <alignment/>
      <protection/>
    </xf>
    <xf numFmtId="168" fontId="19" fillId="33" borderId="10" xfId="0" applyNumberFormat="1" applyFont="1" applyFill="1" applyBorder="1" applyAlignment="1" applyProtection="1">
      <alignment horizontal="right" wrapText="1"/>
      <protection/>
    </xf>
    <xf numFmtId="0" fontId="0" fillId="33" borderId="27" xfId="0" applyFont="1" applyFill="1" applyBorder="1" applyAlignment="1" applyProtection="1">
      <alignment/>
      <protection/>
    </xf>
    <xf numFmtId="0" fontId="1" fillId="33" borderId="13" xfId="0" applyFont="1" applyFill="1" applyBorder="1" applyAlignment="1" applyProtection="1">
      <alignment horizontal="center" vertical="center" wrapText="1"/>
      <protection/>
    </xf>
    <xf numFmtId="0" fontId="0" fillId="0" borderId="0" xfId="0" applyAlignment="1" applyProtection="1">
      <alignment horizontal="center"/>
      <protection/>
    </xf>
    <xf numFmtId="0" fontId="0" fillId="0" borderId="11" xfId="0" applyFont="1" applyBorder="1" applyAlignment="1" applyProtection="1">
      <alignment/>
      <protection/>
    </xf>
    <xf numFmtId="186" fontId="10" fillId="33" borderId="0" xfId="0" applyNumberFormat="1" applyFont="1" applyFill="1" applyBorder="1" applyAlignment="1" applyProtection="1">
      <alignment horizontal="left"/>
      <protection/>
    </xf>
    <xf numFmtId="182" fontId="10" fillId="38" borderId="0" xfId="0" applyNumberFormat="1" applyFont="1" applyFill="1" applyBorder="1" applyAlignment="1" applyProtection="1">
      <alignment horizontal="left"/>
      <protection/>
    </xf>
    <xf numFmtId="185" fontId="27" fillId="33" borderId="0" xfId="0" applyNumberFormat="1" applyFont="1" applyFill="1" applyBorder="1" applyAlignment="1" applyProtection="1">
      <alignment horizontal="left"/>
      <protection/>
    </xf>
    <xf numFmtId="191" fontId="3" fillId="33" borderId="29" xfId="0" applyNumberFormat="1" applyFont="1" applyFill="1" applyBorder="1" applyAlignment="1" applyProtection="1">
      <alignment horizontal="left"/>
      <protection/>
    </xf>
    <xf numFmtId="3" fontId="80" fillId="33" borderId="0" xfId="0" applyNumberFormat="1" applyFont="1" applyFill="1" applyBorder="1" applyAlignment="1" applyProtection="1">
      <alignment horizontal="left"/>
      <protection/>
    </xf>
    <xf numFmtId="2" fontId="1" fillId="38" borderId="0" xfId="0" applyNumberFormat="1" applyFont="1" applyFill="1" applyBorder="1" applyAlignment="1" applyProtection="1">
      <alignment horizontal="right"/>
      <protection hidden="1" locked="0"/>
    </xf>
    <xf numFmtId="2" fontId="0" fillId="33" borderId="0" xfId="0" applyNumberFormat="1" applyFill="1" applyBorder="1" applyAlignment="1" applyProtection="1">
      <alignment horizontal="right"/>
      <protection hidden="1"/>
    </xf>
    <xf numFmtId="2" fontId="0" fillId="35" borderId="0" xfId="0" applyNumberFormat="1" applyFill="1" applyBorder="1" applyAlignment="1" applyProtection="1">
      <alignment horizontal="right"/>
      <protection hidden="1"/>
    </xf>
    <xf numFmtId="3" fontId="1" fillId="34" borderId="33" xfId="0" applyNumberFormat="1" applyFont="1" applyFill="1" applyBorder="1" applyAlignment="1" applyProtection="1">
      <alignment horizontal="right"/>
      <protection locked="0"/>
    </xf>
    <xf numFmtId="3" fontId="1" fillId="34" borderId="18" xfId="0" applyNumberFormat="1" applyFont="1" applyFill="1" applyBorder="1" applyAlignment="1" applyProtection="1">
      <alignment horizontal="right"/>
      <protection locked="0"/>
    </xf>
    <xf numFmtId="3" fontId="1" fillId="34" borderId="23" xfId="0" applyNumberFormat="1" applyFont="1" applyFill="1" applyBorder="1" applyAlignment="1" applyProtection="1">
      <alignment horizontal="right"/>
      <protection hidden="1" locked="0"/>
    </xf>
    <xf numFmtId="3" fontId="1" fillId="39" borderId="18" xfId="0" applyNumberFormat="1" applyFont="1" applyFill="1" applyBorder="1" applyAlignment="1" applyProtection="1">
      <alignment horizontal="right"/>
      <protection hidden="1" locked="0"/>
    </xf>
    <xf numFmtId="2" fontId="0" fillId="35" borderId="0" xfId="0" applyNumberFormat="1" applyFont="1" applyFill="1" applyBorder="1" applyAlignment="1" applyProtection="1">
      <alignment horizontal="right" wrapText="1"/>
      <protection hidden="1"/>
    </xf>
    <xf numFmtId="2" fontId="0" fillId="35" borderId="29" xfId="0" applyNumberFormat="1" applyFont="1" applyFill="1" applyBorder="1" applyAlignment="1" applyProtection="1">
      <alignment horizontal="right" wrapText="1"/>
      <protection hidden="1"/>
    </xf>
    <xf numFmtId="2" fontId="0" fillId="33" borderId="26" xfId="0" applyNumberFormat="1" applyFill="1" applyBorder="1" applyAlignment="1" applyProtection="1">
      <alignment horizontal="right"/>
      <protection/>
    </xf>
    <xf numFmtId="3" fontId="0" fillId="19" borderId="0" xfId="0" applyNumberFormat="1" applyFill="1" applyBorder="1" applyAlignment="1" applyProtection="1">
      <alignment horizontal="right"/>
      <protection/>
    </xf>
    <xf numFmtId="3" fontId="0" fillId="19" borderId="29" xfId="0" applyNumberFormat="1" applyFill="1" applyBorder="1" applyAlignment="1" applyProtection="1">
      <alignment horizontal="right"/>
      <protection/>
    </xf>
    <xf numFmtId="3" fontId="0" fillId="33" borderId="0" xfId="0" applyNumberFormat="1" applyFill="1" applyBorder="1" applyAlignment="1" applyProtection="1">
      <alignment horizontal="right"/>
      <protection/>
    </xf>
    <xf numFmtId="3" fontId="1" fillId="42" borderId="0" xfId="0" applyNumberFormat="1" applyFont="1" applyFill="1" applyBorder="1" applyAlignment="1" applyProtection="1">
      <alignment horizontal="right"/>
      <protection/>
    </xf>
    <xf numFmtId="182" fontId="3" fillId="33" borderId="28" xfId="0" applyNumberFormat="1" applyFont="1" applyFill="1" applyBorder="1" applyAlignment="1" applyProtection="1">
      <alignment horizontal="left"/>
      <protection/>
    </xf>
    <xf numFmtId="0" fontId="3" fillId="33" borderId="26" xfId="0" applyFont="1" applyFill="1" applyBorder="1" applyAlignment="1" applyProtection="1">
      <alignment horizontal="left"/>
      <protection/>
    </xf>
    <xf numFmtId="186" fontId="3" fillId="33" borderId="28" xfId="0" applyNumberFormat="1" applyFont="1" applyFill="1" applyBorder="1" applyAlignment="1" applyProtection="1">
      <alignment horizontal="left"/>
      <protection/>
    </xf>
    <xf numFmtId="185" fontId="3" fillId="33" borderId="28" xfId="0" applyNumberFormat="1" applyFont="1" applyFill="1" applyBorder="1" applyAlignment="1" applyProtection="1">
      <alignment horizontal="left"/>
      <protection/>
    </xf>
    <xf numFmtId="3" fontId="0" fillId="35" borderId="10" xfId="0" applyNumberFormat="1" applyFill="1" applyBorder="1" applyAlignment="1" applyProtection="1">
      <alignment horizontal="right"/>
      <protection/>
    </xf>
    <xf numFmtId="0" fontId="0" fillId="0" borderId="0" xfId="0" applyFont="1" applyAlignment="1" quotePrefix="1">
      <alignment/>
    </xf>
    <xf numFmtId="0" fontId="1" fillId="0" borderId="0" xfId="0" applyFont="1" applyAlignment="1">
      <alignment/>
    </xf>
    <xf numFmtId="0" fontId="17" fillId="0" borderId="0" xfId="0" applyFont="1" applyAlignment="1">
      <alignment/>
    </xf>
    <xf numFmtId="0" fontId="1" fillId="0" borderId="0" xfId="0" applyFont="1" applyAlignment="1" quotePrefix="1">
      <alignment/>
    </xf>
    <xf numFmtId="0" fontId="10" fillId="33" borderId="27" xfId="0" applyFont="1" applyFill="1" applyBorder="1" applyAlignment="1" applyProtection="1">
      <alignment horizontal="right"/>
      <protection/>
    </xf>
    <xf numFmtId="2" fontId="0" fillId="0" borderId="0" xfId="0" applyNumberFormat="1" applyFont="1" applyAlignment="1" applyProtection="1">
      <alignment horizontal="left"/>
      <protection/>
    </xf>
    <xf numFmtId="0" fontId="3" fillId="0" borderId="0" xfId="0" applyFont="1" applyAlignment="1">
      <alignment/>
    </xf>
    <xf numFmtId="0" fontId="81" fillId="0" borderId="0" xfId="0" applyFont="1" applyAlignment="1">
      <alignment/>
    </xf>
    <xf numFmtId="1" fontId="0" fillId="0" borderId="10" xfId="0" applyNumberFormat="1" applyFill="1" applyBorder="1" applyAlignment="1" applyProtection="1">
      <alignment/>
      <protection/>
    </xf>
    <xf numFmtId="0" fontId="0" fillId="0" borderId="28" xfId="0" applyFont="1" applyFill="1" applyBorder="1" applyAlignment="1" applyProtection="1">
      <alignment/>
      <protection/>
    </xf>
    <xf numFmtId="1" fontId="0" fillId="0" borderId="0" xfId="0" applyNumberFormat="1" applyFill="1" applyBorder="1" applyAlignment="1" applyProtection="1">
      <alignment/>
      <protection/>
    </xf>
    <xf numFmtId="0" fontId="0" fillId="0" borderId="28" xfId="0" applyFill="1" applyBorder="1" applyAlignment="1" applyProtection="1">
      <alignment/>
      <protection/>
    </xf>
    <xf numFmtId="0" fontId="0" fillId="0" borderId="0" xfId="0" applyFont="1" applyFill="1" applyBorder="1" applyAlignment="1" applyProtection="1">
      <alignment/>
      <protection/>
    </xf>
    <xf numFmtId="0" fontId="0" fillId="38" borderId="0" xfId="0" applyFont="1" applyFill="1" applyBorder="1" applyAlignment="1" applyProtection="1">
      <alignment/>
      <protection/>
    </xf>
    <xf numFmtId="0" fontId="0" fillId="38" borderId="0" xfId="0" applyFill="1" applyAlignment="1">
      <alignment/>
    </xf>
    <xf numFmtId="165" fontId="36" fillId="19" borderId="0" xfId="0" applyNumberFormat="1" applyFont="1" applyFill="1" applyBorder="1" applyAlignment="1" applyProtection="1">
      <alignment horizontal="right" vertical="center"/>
      <protection/>
    </xf>
    <xf numFmtId="0" fontId="1" fillId="38" borderId="0" xfId="0" applyFont="1" applyFill="1" applyBorder="1" applyAlignment="1" applyProtection="1">
      <alignment/>
      <protection/>
    </xf>
    <xf numFmtId="0" fontId="0" fillId="0" borderId="0" xfId="0" applyFill="1" applyAlignment="1">
      <alignment/>
    </xf>
    <xf numFmtId="0" fontId="6" fillId="38" borderId="0" xfId="0" applyFont="1" applyFill="1" applyBorder="1" applyAlignment="1" applyProtection="1">
      <alignment/>
      <protection/>
    </xf>
    <xf numFmtId="0" fontId="3" fillId="37" borderId="0" xfId="0" applyFont="1" applyFill="1" applyBorder="1" applyAlignment="1" applyProtection="1">
      <alignment/>
      <protection/>
    </xf>
    <xf numFmtId="165" fontId="36" fillId="38" borderId="0" xfId="0" applyNumberFormat="1" applyFont="1" applyFill="1" applyBorder="1" applyAlignment="1" applyProtection="1">
      <alignment horizontal="right" vertical="center"/>
      <protection/>
    </xf>
    <xf numFmtId="0" fontId="3" fillId="38" borderId="0" xfId="0" applyFont="1" applyFill="1" applyBorder="1" applyAlignment="1" applyProtection="1">
      <alignment/>
      <protection/>
    </xf>
    <xf numFmtId="0" fontId="3" fillId="38" borderId="0" xfId="0" applyFont="1" applyFill="1" applyAlignment="1" applyProtection="1">
      <alignment/>
      <protection/>
    </xf>
    <xf numFmtId="165" fontId="1" fillId="19" borderId="0" xfId="0" applyNumberFormat="1" applyFont="1" applyFill="1" applyAlignment="1" applyProtection="1">
      <alignment/>
      <protection/>
    </xf>
    <xf numFmtId="0" fontId="3" fillId="0" borderId="0" xfId="0" applyFont="1" applyAlignment="1" applyProtection="1">
      <alignment/>
      <protection/>
    </xf>
    <xf numFmtId="0" fontId="0" fillId="19" borderId="0" xfId="0" applyFont="1" applyFill="1" applyAlignment="1" applyProtection="1">
      <alignment/>
      <protection/>
    </xf>
    <xf numFmtId="3" fontId="0" fillId="34" borderId="14" xfId="0" applyNumberFormat="1" applyFont="1" applyFill="1" applyBorder="1" applyAlignment="1" applyProtection="1">
      <alignment horizontal="right"/>
      <protection locked="0"/>
    </xf>
    <xf numFmtId="3" fontId="10" fillId="33" borderId="27" xfId="0" applyNumberFormat="1" applyFont="1" applyFill="1" applyBorder="1" applyAlignment="1" applyProtection="1">
      <alignment horizontal="left"/>
      <protection locked="0"/>
    </xf>
    <xf numFmtId="2" fontId="1" fillId="35" borderId="0" xfId="0" applyNumberFormat="1" applyFont="1" applyFill="1" applyBorder="1" applyAlignment="1" applyProtection="1">
      <alignment horizontal="right" wrapText="1"/>
      <protection hidden="1"/>
    </xf>
    <xf numFmtId="3" fontId="1" fillId="35" borderId="34" xfId="0" applyNumberFormat="1" applyFont="1" applyFill="1" applyBorder="1" applyAlignment="1" applyProtection="1">
      <alignment horizontal="right"/>
      <protection hidden="1"/>
    </xf>
    <xf numFmtId="3" fontId="1" fillId="39" borderId="16" xfId="0" applyNumberFormat="1" applyFont="1" applyFill="1" applyBorder="1" applyAlignment="1" applyProtection="1">
      <alignment horizontal="right"/>
      <protection hidden="1" locked="0"/>
    </xf>
    <xf numFmtId="2" fontId="1" fillId="35" borderId="10" xfId="0" applyNumberFormat="1" applyFont="1" applyFill="1" applyBorder="1" applyAlignment="1" applyProtection="1">
      <alignment horizontal="right" wrapText="1"/>
      <protection hidden="1"/>
    </xf>
    <xf numFmtId="3" fontId="1" fillId="35" borderId="11" xfId="0" applyNumberFormat="1" applyFont="1" applyFill="1" applyBorder="1" applyAlignment="1" applyProtection="1">
      <alignment horizontal="right"/>
      <protection hidden="1"/>
    </xf>
    <xf numFmtId="3" fontId="1" fillId="39" borderId="19" xfId="0" applyNumberFormat="1" applyFont="1" applyFill="1" applyBorder="1" applyAlignment="1" applyProtection="1">
      <alignment horizontal="right"/>
      <protection hidden="1" locked="0"/>
    </xf>
    <xf numFmtId="0" fontId="0" fillId="37" borderId="0" xfId="0" applyFill="1" applyBorder="1" applyAlignment="1" applyProtection="1">
      <alignment/>
      <protection locked="0"/>
    </xf>
    <xf numFmtId="3" fontId="0" fillId="38" borderId="0" xfId="0" applyNumberFormat="1" applyFont="1" applyFill="1" applyBorder="1" applyAlignment="1" applyProtection="1">
      <alignment/>
      <protection/>
    </xf>
    <xf numFmtId="0" fontId="0" fillId="38" borderId="0" xfId="0" applyFill="1" applyBorder="1" applyAlignment="1" applyProtection="1">
      <alignment/>
      <protection locked="0"/>
    </xf>
    <xf numFmtId="0" fontId="82" fillId="33" borderId="0" xfId="0" applyFont="1" applyFill="1" applyAlignment="1" applyProtection="1">
      <alignment horizontal="right"/>
      <protection/>
    </xf>
    <xf numFmtId="2" fontId="0" fillId="38" borderId="0" xfId="0" applyNumberFormat="1" applyFont="1" applyFill="1" applyBorder="1" applyAlignment="1" applyProtection="1">
      <alignment/>
      <protection/>
    </xf>
    <xf numFmtId="0" fontId="0" fillId="19" borderId="0" xfId="0" applyFont="1" applyFill="1" applyBorder="1" applyAlignment="1" applyProtection="1">
      <alignment/>
      <protection/>
    </xf>
    <xf numFmtId="0" fontId="28" fillId="33" borderId="0" xfId="0" applyFont="1" applyFill="1" applyAlignment="1" applyProtection="1">
      <alignment/>
      <protection locked="0"/>
    </xf>
    <xf numFmtId="0" fontId="0" fillId="0" borderId="11" xfId="0" applyBorder="1" applyAlignment="1" applyProtection="1">
      <alignment/>
      <protection locked="0"/>
    </xf>
    <xf numFmtId="0" fontId="0" fillId="0" borderId="27" xfId="0" applyBorder="1" applyAlignment="1" applyProtection="1">
      <alignment/>
      <protection locked="0"/>
    </xf>
    <xf numFmtId="0" fontId="0" fillId="0" borderId="0" xfId="0" applyBorder="1" applyAlignment="1" applyProtection="1">
      <alignment horizontal="center"/>
      <protection locked="0"/>
    </xf>
    <xf numFmtId="0" fontId="0" fillId="0" borderId="10" xfId="0" applyBorder="1" applyAlignment="1" applyProtection="1">
      <alignment/>
      <protection locked="0"/>
    </xf>
    <xf numFmtId="0" fontId="0" fillId="0" borderId="28" xfId="0" applyBorder="1" applyAlignment="1" applyProtection="1">
      <alignment/>
      <protection locked="0"/>
    </xf>
    <xf numFmtId="0" fontId="3" fillId="36" borderId="24" xfId="0" applyNumberFormat="1" applyFont="1" applyFill="1" applyBorder="1" applyAlignment="1" applyProtection="1">
      <alignment wrapText="1"/>
      <protection/>
    </xf>
    <xf numFmtId="0" fontId="0" fillId="36" borderId="0" xfId="0" applyFill="1" applyBorder="1" applyAlignment="1" applyProtection="1">
      <alignment wrapText="1"/>
      <protection/>
    </xf>
    <xf numFmtId="0" fontId="0" fillId="36" borderId="25" xfId="0" applyFill="1" applyBorder="1" applyAlignment="1" applyProtection="1">
      <alignment wrapText="1"/>
      <protection/>
    </xf>
    <xf numFmtId="0" fontId="0" fillId="36" borderId="24" xfId="0" applyFill="1" applyBorder="1" applyAlignment="1" applyProtection="1">
      <alignment wrapText="1"/>
      <protection/>
    </xf>
    <xf numFmtId="0" fontId="0" fillId="36" borderId="35" xfId="0" applyFill="1" applyBorder="1" applyAlignment="1" applyProtection="1">
      <alignment wrapText="1"/>
      <protection/>
    </xf>
    <xf numFmtId="0" fontId="0" fillId="36" borderId="36" xfId="0" applyFill="1" applyBorder="1" applyAlignment="1" applyProtection="1">
      <alignment wrapText="1"/>
      <protection/>
    </xf>
    <xf numFmtId="0" fontId="0" fillId="36" borderId="37" xfId="0" applyFill="1" applyBorder="1" applyAlignment="1" applyProtection="1">
      <alignment wrapText="1"/>
      <protection/>
    </xf>
    <xf numFmtId="0" fontId="8" fillId="33" borderId="0" xfId="0" applyFont="1" applyFill="1" applyBorder="1" applyAlignment="1" applyProtection="1">
      <alignment wrapText="1"/>
      <protection/>
    </xf>
    <xf numFmtId="0" fontId="0" fillId="0" borderId="0" xfId="0" applyAlignment="1" applyProtection="1">
      <alignment wrapText="1"/>
      <protection/>
    </xf>
    <xf numFmtId="0" fontId="1" fillId="37" borderId="0" xfId="0" applyFont="1" applyFill="1" applyBorder="1" applyAlignment="1" applyProtection="1">
      <alignment/>
      <protection/>
    </xf>
    <xf numFmtId="0" fontId="0" fillId="37" borderId="0" xfId="0" applyFont="1" applyFill="1" applyBorder="1" applyAlignment="1" applyProtection="1">
      <alignment/>
      <protection/>
    </xf>
    <xf numFmtId="0" fontId="0" fillId="37" borderId="0" xfId="0" applyFill="1" applyAlignment="1" applyProtection="1">
      <alignment/>
      <protection/>
    </xf>
    <xf numFmtId="0" fontId="0" fillId="34" borderId="38" xfId="0" applyFill="1" applyBorder="1" applyAlignment="1" applyProtection="1">
      <alignment vertical="center"/>
      <protection locked="0"/>
    </xf>
    <xf numFmtId="0" fontId="0" fillId="0" borderId="39" xfId="0" applyBorder="1" applyAlignment="1" applyProtection="1">
      <alignment vertical="center"/>
      <protection locked="0"/>
    </xf>
    <xf numFmtId="0" fontId="14" fillId="33" borderId="0" xfId="0" applyFont="1" applyFill="1" applyBorder="1" applyAlignment="1" applyProtection="1">
      <alignment vertical="center"/>
      <protection/>
    </xf>
    <xf numFmtId="0" fontId="0" fillId="0" borderId="0" xfId="0" applyAlignment="1" applyProtection="1">
      <alignment vertical="center"/>
      <protection/>
    </xf>
    <xf numFmtId="2" fontId="1" fillId="37" borderId="40" xfId="0" applyNumberFormat="1" applyFont="1" applyFill="1" applyBorder="1" applyAlignment="1" applyProtection="1">
      <alignment horizontal="center" vertical="center" wrapText="1"/>
      <protection/>
    </xf>
    <xf numFmtId="2" fontId="1" fillId="37" borderId="41" xfId="0" applyNumberFormat="1" applyFont="1" applyFill="1" applyBorder="1" applyAlignment="1" applyProtection="1">
      <alignment horizontal="center" vertical="center" wrapText="1"/>
      <protection/>
    </xf>
    <xf numFmtId="2" fontId="1" fillId="40" borderId="40" xfId="0" applyNumberFormat="1" applyFont="1" applyFill="1" applyBorder="1" applyAlignment="1" applyProtection="1">
      <alignment horizontal="center" vertical="center" wrapText="1"/>
      <protection/>
    </xf>
    <xf numFmtId="0" fontId="0" fillId="40" borderId="31" xfId="0" applyFill="1" applyBorder="1" applyAlignment="1" applyProtection="1">
      <alignment horizontal="center" vertical="center" wrapText="1"/>
      <protection/>
    </xf>
    <xf numFmtId="2" fontId="1" fillId="43" borderId="40" xfId="0" applyNumberFormat="1" applyFont="1" applyFill="1" applyBorder="1" applyAlignment="1" applyProtection="1">
      <alignment horizontal="center" vertical="center" wrapText="1"/>
      <protection/>
    </xf>
    <xf numFmtId="0" fontId="0" fillId="43" borderId="41" xfId="0" applyFill="1" applyBorder="1" applyAlignment="1" applyProtection="1">
      <alignment horizontal="center" vertical="center" wrapText="1"/>
      <protection/>
    </xf>
    <xf numFmtId="2" fontId="1" fillId="44" borderId="40" xfId="0" applyNumberFormat="1" applyFont="1" applyFill="1" applyBorder="1" applyAlignment="1" applyProtection="1">
      <alignment horizontal="center" vertical="center" wrapText="1"/>
      <protection/>
    </xf>
    <xf numFmtId="0" fontId="0" fillId="44" borderId="41" xfId="0" applyFill="1" applyBorder="1" applyAlignment="1" applyProtection="1">
      <alignment horizontal="center" vertical="center" wrapText="1"/>
      <protection/>
    </xf>
    <xf numFmtId="2" fontId="1" fillId="40" borderId="41" xfId="0" applyNumberFormat="1" applyFont="1" applyFill="1" applyBorder="1" applyAlignment="1" applyProtection="1">
      <alignment horizontal="center" vertical="center" wrapText="1"/>
      <protection/>
    </xf>
    <xf numFmtId="2" fontId="1" fillId="43" borderId="41" xfId="0" applyNumberFormat="1" applyFont="1" applyFill="1" applyBorder="1" applyAlignment="1" applyProtection="1">
      <alignment horizontal="center" vertical="center" wrapText="1"/>
      <protection/>
    </xf>
    <xf numFmtId="2" fontId="1" fillId="45" borderId="40" xfId="0" applyNumberFormat="1" applyFont="1" applyFill="1" applyBorder="1" applyAlignment="1" applyProtection="1">
      <alignment horizontal="center" vertical="center" wrapText="1"/>
      <protection/>
    </xf>
    <xf numFmtId="0" fontId="0" fillId="45" borderId="41" xfId="0" applyFill="1" applyBorder="1" applyAlignment="1" applyProtection="1">
      <alignment horizontal="center" vertical="center" wrapText="1"/>
      <protection/>
    </xf>
    <xf numFmtId="2" fontId="1" fillId="46" borderId="40" xfId="0" applyNumberFormat="1" applyFont="1" applyFill="1" applyBorder="1" applyAlignment="1" applyProtection="1">
      <alignment horizontal="center" vertical="center" wrapText="1"/>
      <protection/>
    </xf>
    <xf numFmtId="0" fontId="0" fillId="46" borderId="41" xfId="0" applyFill="1" applyBorder="1" applyAlignment="1" applyProtection="1">
      <alignment horizontal="center" vertical="center" wrapText="1"/>
      <protection/>
    </xf>
    <xf numFmtId="2" fontId="1" fillId="47" borderId="40" xfId="0" applyNumberFormat="1" applyFont="1" applyFill="1" applyBorder="1" applyAlignment="1" applyProtection="1">
      <alignment horizontal="center" vertical="center" wrapText="1"/>
      <protection/>
    </xf>
    <xf numFmtId="0" fontId="0" fillId="47" borderId="41" xfId="0" applyFill="1" applyBorder="1" applyAlignment="1" applyProtection="1">
      <alignment horizontal="center" vertical="center" wrapText="1"/>
      <protection/>
    </xf>
    <xf numFmtId="2" fontId="1" fillId="45" borderId="41" xfId="0" applyNumberFormat="1" applyFont="1" applyFill="1" applyBorder="1" applyAlignment="1" applyProtection="1">
      <alignment horizontal="center" vertical="center" wrapText="1"/>
      <protection/>
    </xf>
    <xf numFmtId="2" fontId="1" fillId="45" borderId="31" xfId="0" applyNumberFormat="1" applyFont="1" applyFill="1" applyBorder="1" applyAlignment="1" applyProtection="1">
      <alignment horizontal="center" vertical="center" wrapText="1"/>
      <protection/>
    </xf>
    <xf numFmtId="0" fontId="0" fillId="45" borderId="31" xfId="0" applyFill="1" applyBorder="1" applyAlignment="1" applyProtection="1">
      <alignment horizontal="center" vertical="center" wrapText="1"/>
      <protection/>
    </xf>
    <xf numFmtId="0" fontId="18" fillId="33" borderId="0" xfId="0" applyFont="1" applyFill="1" applyAlignment="1" applyProtection="1">
      <alignment vertical="top"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7775"/>
          <c:w val="0.93625"/>
          <c:h val="0.89275"/>
        </c:manualLayout>
      </c:layout>
      <c:lineChart>
        <c:grouping val="standard"/>
        <c:varyColors val="0"/>
        <c:ser>
          <c:idx val="0"/>
          <c:order val="0"/>
          <c:tx>
            <c:v>Luft/Wasser Wärmepumpe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 Ausgabe'!#REF!</c:f>
            </c:numRef>
          </c:val>
          <c:smooth val="0"/>
        </c:ser>
        <c:ser>
          <c:idx val="1"/>
          <c:order val="1"/>
          <c:tx>
            <c:strRef>
              <c:f>'3. Ausgabe'!$N$19</c:f>
              <c:strCache>
                <c:ptCount val="1"/>
                <c:pt idx="0">
                  <c:v>Luft/Wasser WATERKOTTE Wärmepumpe monovalent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 Ausgabe'!$A$34:$A$53</c:f>
              <c:numCache/>
            </c:numRef>
          </c:cat>
          <c:val>
            <c:numRef>
              <c:f>'3. Ausgabe'!$C$34:$C$53</c:f>
              <c:numCache/>
            </c:numRef>
          </c:val>
          <c:smooth val="0"/>
        </c:ser>
        <c:ser>
          <c:idx val="2"/>
          <c:order val="2"/>
          <c:tx>
            <c:strRef>
              <c:f>'3. Ausgabe'!$N$20</c:f>
              <c:strCache>
                <c:ptCount val="1"/>
                <c:pt idx="0">
                  <c:v>Sole/Wasser WATERKOTTE Wärmepumpe monovalent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 Ausgabe'!$A$34:$A$53</c:f>
              <c:numCache/>
            </c:numRef>
          </c:cat>
          <c:val>
            <c:numRef>
              <c:f>'3. Ausgabe'!$F$34:$F$53</c:f>
              <c:numCache/>
            </c:numRef>
          </c:val>
          <c:smooth val="0"/>
        </c:ser>
        <c:marker val="1"/>
        <c:axId val="48794300"/>
        <c:axId val="36495517"/>
      </c:lineChart>
      <c:catAx>
        <c:axId val="48794300"/>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Jahre</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36495517"/>
        <c:crosses val="autoZero"/>
        <c:auto val="1"/>
        <c:lblOffset val="100"/>
        <c:tickLblSkip val="1"/>
        <c:noMultiLvlLbl val="0"/>
      </c:catAx>
      <c:valAx>
        <c:axId val="36495517"/>
        <c:scaling>
          <c:orientation val="minMax"/>
        </c:scaling>
        <c:axPos val="l"/>
        <c:title>
          <c:tx>
            <c:rich>
              <a:bodyPr vert="horz" rot="-5400000" anchor="ctr"/>
              <a:lstStyle/>
              <a:p>
                <a:pPr algn="ctr">
                  <a:defRPr/>
                </a:pPr>
                <a:r>
                  <a:rPr lang="en-US" cap="none" sz="850" b="0" i="0" u="none" baseline="0">
                    <a:solidFill>
                      <a:srgbClr val="000000"/>
                    </a:solidFill>
                    <a:latin typeface="Arial"/>
                    <a:ea typeface="Arial"/>
                    <a:cs typeface="Arial"/>
                  </a:rPr>
                  <a:t>Euro</a:t>
                </a:r>
              </a:p>
            </c:rich>
          </c:tx>
          <c:layout>
            <c:manualLayout>
              <c:xMode val="factor"/>
              <c:yMode val="factor"/>
              <c:x val="-0.0167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48794300"/>
        <c:crossesAt val="1"/>
        <c:crossBetween val="between"/>
        <c:dispUnits/>
      </c:valAx>
      <c:spPr>
        <a:solidFill>
          <a:srgbClr val="C0C0C0"/>
        </a:solidFill>
        <a:ln w="12700">
          <a:solidFill>
            <a:srgbClr val="808080"/>
          </a:solidFill>
        </a:ln>
      </c:spPr>
    </c:plotArea>
    <c:legend>
      <c:legendPos val="r"/>
      <c:legendEntry>
        <c:idx val="0"/>
        <c:delete val="1"/>
      </c:legendEntry>
      <c:layout>
        <c:manualLayout>
          <c:xMode val="edge"/>
          <c:yMode val="edge"/>
          <c:x val="0.1925"/>
          <c:y val="0.18175"/>
          <c:w val="0.315"/>
          <c:h val="0.081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10</xdr:row>
      <xdr:rowOff>0</xdr:rowOff>
    </xdr:from>
    <xdr:to>
      <xdr:col>14</xdr:col>
      <xdr:colOff>9525</xdr:colOff>
      <xdr:row>54</xdr:row>
      <xdr:rowOff>38100</xdr:rowOff>
    </xdr:to>
    <xdr:graphicFrame>
      <xdr:nvGraphicFramePr>
        <xdr:cNvPr id="1" name="Diagramm 106"/>
        <xdr:cNvGraphicFramePr/>
      </xdr:nvGraphicFramePr>
      <xdr:xfrm>
        <a:off x="9029700" y="1733550"/>
        <a:ext cx="6467475" cy="7000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H64"/>
  <sheetViews>
    <sheetView zoomScale="160" zoomScaleNormal="160" zoomScalePageLayoutView="0" workbookViewId="0" topLeftCell="A37">
      <selection activeCell="E60" sqref="E60"/>
    </sheetView>
  </sheetViews>
  <sheetFormatPr defaultColWidth="11.421875" defaultRowHeight="12.75"/>
  <cols>
    <col min="2" max="2" width="17.28125" style="0" customWidth="1"/>
    <col min="4" max="4" width="5.8515625" style="0" customWidth="1"/>
    <col min="6" max="6" width="16.140625" style="0" customWidth="1"/>
    <col min="7" max="7" width="12.421875" style="0" customWidth="1"/>
    <col min="8" max="8" width="8.57421875" style="0" customWidth="1"/>
  </cols>
  <sheetData>
    <row r="1" spans="1:8" ht="12.75">
      <c r="A1" s="39"/>
      <c r="B1" s="39"/>
      <c r="C1" s="39"/>
      <c r="D1" s="39"/>
      <c r="E1" s="39"/>
      <c r="F1" s="39"/>
      <c r="G1" s="39"/>
      <c r="H1" s="39"/>
    </row>
    <row r="2" spans="1:8" ht="15.75">
      <c r="A2" s="40" t="s">
        <v>182</v>
      </c>
      <c r="B2" s="39"/>
      <c r="C2" s="41"/>
      <c r="D2" s="41"/>
      <c r="E2" s="41"/>
      <c r="F2" s="41"/>
      <c r="G2" s="41"/>
      <c r="H2" s="42"/>
    </row>
    <row r="3" spans="1:8" ht="12.75">
      <c r="A3" s="43" t="s">
        <v>174</v>
      </c>
      <c r="B3" s="39"/>
      <c r="C3" s="41"/>
      <c r="D3" s="41"/>
      <c r="E3" s="41"/>
      <c r="F3" s="41"/>
      <c r="G3" s="41"/>
      <c r="H3" s="42"/>
    </row>
    <row r="4" spans="1:8" ht="14.25" customHeight="1">
      <c r="A4" s="44"/>
      <c r="B4" s="45"/>
      <c r="C4" s="39"/>
      <c r="D4" s="39"/>
      <c r="E4" s="39"/>
      <c r="F4" s="39"/>
      <c r="G4" s="39"/>
      <c r="H4" s="46"/>
    </row>
    <row r="5" spans="1:8" ht="12.75">
      <c r="A5" s="379" t="s">
        <v>24</v>
      </c>
      <c r="B5" s="380"/>
      <c r="C5" s="380"/>
      <c r="D5" s="380"/>
      <c r="E5" s="37"/>
      <c r="F5" s="379" t="s">
        <v>25</v>
      </c>
      <c r="G5" s="381"/>
      <c r="H5" s="48"/>
    </row>
    <row r="6" spans="1:8" ht="12.75">
      <c r="A6" s="35" t="s">
        <v>1</v>
      </c>
      <c r="B6" s="35"/>
      <c r="C6" s="13">
        <v>0</v>
      </c>
      <c r="D6" s="36" t="s">
        <v>175</v>
      </c>
      <c r="E6" s="37"/>
      <c r="F6" s="35" t="s">
        <v>12</v>
      </c>
      <c r="G6" s="10">
        <v>400</v>
      </c>
      <c r="H6" s="38" t="s">
        <v>22</v>
      </c>
    </row>
    <row r="7" spans="1:8" ht="12.75">
      <c r="A7" s="35" t="s">
        <v>0</v>
      </c>
      <c r="B7" s="35"/>
      <c r="C7" s="13">
        <v>0</v>
      </c>
      <c r="D7" s="36" t="s">
        <v>176</v>
      </c>
      <c r="E7" s="37"/>
      <c r="F7" s="49" t="s">
        <v>53</v>
      </c>
      <c r="G7" s="382">
        <v>35</v>
      </c>
      <c r="H7" s="384" t="s">
        <v>51</v>
      </c>
    </row>
    <row r="8" spans="1:8" ht="12.75">
      <c r="A8" s="35" t="s">
        <v>5</v>
      </c>
      <c r="B8" s="35"/>
      <c r="C8" s="13">
        <v>0</v>
      </c>
      <c r="D8" s="36" t="s">
        <v>175</v>
      </c>
      <c r="E8" s="37"/>
      <c r="F8" s="47" t="s">
        <v>52</v>
      </c>
      <c r="G8" s="383"/>
      <c r="H8" s="385"/>
    </row>
    <row r="9" spans="1:8" ht="12.75">
      <c r="A9" s="35" t="s">
        <v>10</v>
      </c>
      <c r="B9" s="35"/>
      <c r="C9" s="13">
        <v>0</v>
      </c>
      <c r="D9" s="36" t="s">
        <v>2</v>
      </c>
      <c r="E9" s="37"/>
      <c r="F9" s="377">
        <f>IF(AND((C6+C7+C8+C9)&gt;0,G6&gt;0),"Fehler!!    Bitte Angaben nur zum Altbau oder nur zum Neubau machen!!","")</f>
      </c>
      <c r="G9" s="378"/>
      <c r="H9" s="378"/>
    </row>
    <row r="10" spans="1:8" ht="12.75">
      <c r="A10" s="35" t="s">
        <v>109</v>
      </c>
      <c r="B10" s="35"/>
      <c r="C10" s="223">
        <v>0</v>
      </c>
      <c r="D10" s="36" t="s">
        <v>177</v>
      </c>
      <c r="E10" s="37"/>
      <c r="F10" s="377"/>
      <c r="G10" s="378"/>
      <c r="H10" s="378"/>
    </row>
    <row r="11" spans="1:8" ht="12.75">
      <c r="A11" s="35" t="s">
        <v>108</v>
      </c>
      <c r="B11" s="35"/>
      <c r="C11" s="223">
        <v>0</v>
      </c>
      <c r="D11" s="36" t="s">
        <v>177</v>
      </c>
      <c r="E11" s="37"/>
      <c r="F11" s="377"/>
      <c r="G11" s="378"/>
      <c r="H11" s="378"/>
    </row>
    <row r="12" spans="1:8" ht="12.75">
      <c r="A12" s="35" t="s">
        <v>19</v>
      </c>
      <c r="B12" s="35"/>
      <c r="C12" s="10">
        <v>0</v>
      </c>
      <c r="D12" s="36" t="s">
        <v>4</v>
      </c>
      <c r="E12" s="34"/>
      <c r="F12" s="378"/>
      <c r="G12" s="378"/>
      <c r="H12" s="378"/>
    </row>
    <row r="13" spans="1:8" ht="12.75">
      <c r="A13" s="50"/>
      <c r="B13" s="51"/>
      <c r="C13" s="52"/>
      <c r="D13" s="52"/>
      <c r="E13" s="227">
        <f>IF(C6+C7+C8+C9+C10+C11&gt;0,IF(C12&gt;0,"","Fehler, Anlagennutzungsgrad muss bestimmt werden!"),"")</f>
      </c>
      <c r="F13" s="46"/>
      <c r="G13" s="46"/>
      <c r="H13" s="46"/>
    </row>
    <row r="14" spans="1:8" ht="12.75">
      <c r="A14" s="168" t="s">
        <v>9</v>
      </c>
      <c r="B14" s="169"/>
      <c r="C14" s="169"/>
      <c r="D14" s="169"/>
      <c r="E14" s="169"/>
      <c r="F14" s="170"/>
      <c r="G14" s="170"/>
      <c r="H14" s="37"/>
    </row>
    <row r="15" spans="1:8" ht="12.75">
      <c r="A15" s="53" t="s">
        <v>13</v>
      </c>
      <c r="B15" s="37"/>
      <c r="C15" s="37"/>
      <c r="D15" s="39"/>
      <c r="E15" s="10">
        <v>10</v>
      </c>
      <c r="F15" s="36" t="s">
        <v>3</v>
      </c>
      <c r="G15" s="37"/>
      <c r="H15" s="37"/>
    </row>
    <row r="16" spans="1:8" ht="12.75">
      <c r="A16" s="53" t="s">
        <v>14</v>
      </c>
      <c r="B16" s="37"/>
      <c r="C16" s="37"/>
      <c r="D16" s="39"/>
      <c r="E16" s="10">
        <v>40</v>
      </c>
      <c r="F16" s="36" t="s">
        <v>112</v>
      </c>
      <c r="G16" s="37"/>
      <c r="H16" s="37"/>
    </row>
    <row r="17" spans="1:8" ht="12.75">
      <c r="A17" s="53" t="s">
        <v>15</v>
      </c>
      <c r="B17" s="37"/>
      <c r="C17" s="37"/>
      <c r="D17" s="39"/>
      <c r="E17" s="10">
        <v>10</v>
      </c>
      <c r="F17" s="36" t="s">
        <v>21</v>
      </c>
      <c r="G17" s="230">
        <f>(E15*E16*4.182/3600*(50-E17)*364)</f>
        <v>6765.546666666668</v>
      </c>
      <c r="H17" s="36" t="s">
        <v>2</v>
      </c>
    </row>
    <row r="18" spans="1:8" ht="12.75">
      <c r="A18" s="35" t="s">
        <v>184</v>
      </c>
      <c r="B18" s="37"/>
      <c r="C18" s="37"/>
      <c r="D18" s="39"/>
      <c r="E18" s="10">
        <v>80</v>
      </c>
      <c r="F18" s="36" t="s">
        <v>4</v>
      </c>
      <c r="G18" s="230">
        <f>G17*E18/100</f>
        <v>5412.437333333334</v>
      </c>
      <c r="H18" s="36" t="s">
        <v>2</v>
      </c>
    </row>
    <row r="19" spans="1:8" s="338" customFormat="1" ht="3.75" customHeight="1">
      <c r="A19" s="337"/>
      <c r="B19" s="200"/>
      <c r="C19" s="200"/>
      <c r="D19" s="194"/>
      <c r="E19" s="360"/>
      <c r="F19" s="345"/>
      <c r="G19" s="359"/>
      <c r="H19" s="345"/>
    </row>
    <row r="20" spans="1:8" ht="12.75">
      <c r="A20" s="168" t="s">
        <v>194</v>
      </c>
      <c r="B20" s="169"/>
      <c r="C20" s="169"/>
      <c r="D20" s="229"/>
      <c r="E20" s="358"/>
      <c r="F20" s="343"/>
      <c r="G20" s="169"/>
      <c r="H20" s="37"/>
    </row>
    <row r="21" spans="1:8" ht="12.75">
      <c r="A21" s="35" t="s">
        <v>188</v>
      </c>
      <c r="B21" s="37"/>
      <c r="C21" s="37"/>
      <c r="D21" s="39"/>
      <c r="E21" s="12">
        <v>1500</v>
      </c>
      <c r="F21" s="35" t="s">
        <v>23</v>
      </c>
      <c r="G21" s="37"/>
      <c r="H21" s="37"/>
    </row>
    <row r="22" spans="1:8" ht="12.75">
      <c r="A22" s="35" t="s">
        <v>193</v>
      </c>
      <c r="B22" s="37"/>
      <c r="C22" s="37"/>
      <c r="D22" s="39"/>
      <c r="E22" s="12">
        <v>70</v>
      </c>
      <c r="F22" s="35" t="s">
        <v>4</v>
      </c>
      <c r="G22" s="230">
        <f>G18*E21/8760*E22/100</f>
        <v>648.7510502283106</v>
      </c>
      <c r="H22" s="36" t="s">
        <v>2</v>
      </c>
    </row>
    <row r="23" spans="1:8" ht="6" customHeight="1">
      <c r="A23" s="37"/>
      <c r="B23" s="37"/>
      <c r="C23" s="37"/>
      <c r="D23" s="37"/>
      <c r="E23" s="37"/>
      <c r="F23" s="37"/>
      <c r="G23" s="37"/>
      <c r="H23" s="37"/>
    </row>
    <row r="24" spans="1:8" ht="12.75">
      <c r="A24" s="168" t="s">
        <v>11</v>
      </c>
      <c r="B24" s="169"/>
      <c r="C24" s="169"/>
      <c r="D24" s="169"/>
      <c r="E24" s="170"/>
      <c r="F24" s="169"/>
      <c r="G24" s="229"/>
      <c r="H24" s="34"/>
    </row>
    <row r="25" spans="1:6" ht="12.75">
      <c r="A25" s="35" t="s">
        <v>195</v>
      </c>
      <c r="B25" s="35"/>
      <c r="C25" s="54">
        <f>IF(E25&lt;(G28/2),"Bitte überprüfen Sie Ihre Eingaben!!",IF(E25&lt;0,"Fehler!",""))</f>
      </c>
      <c r="D25" s="35"/>
      <c r="E25" s="230">
        <f>IF((C6+C7+C8+C9+C10+C11)&gt;0,(C6*'2. Dateneingabe'!N23+'1. Ermittlung Energieverbrauch'!C7*'2. Dateneingabe'!X23+C8*'2. Dateneingabe'!D23*'2. Dateneingabe'!D24+C9+C10*2100+C11*1700)*C12/100-(E15*E16*4.182/3600*(45-E17)*364),(G6*G7))</f>
        <v>14000</v>
      </c>
      <c r="F25" s="36" t="s">
        <v>2</v>
      </c>
    </row>
    <row r="26" spans="1:7" ht="12.75">
      <c r="A26" s="35" t="s">
        <v>196</v>
      </c>
      <c r="B26" s="35"/>
      <c r="C26" s="35"/>
      <c r="D26" s="35"/>
      <c r="E26" s="54">
        <f>IF(F26&lt;(G31/2),"Bitte überprüfen Sie Ihre Eingaben!!",IF(F26&lt;0,"Fehler!",""))</f>
      </c>
      <c r="F26" s="230">
        <f>E25-G22</f>
        <v>13351.248949771689</v>
      </c>
      <c r="G26" s="36" t="s">
        <v>2</v>
      </c>
    </row>
    <row r="27" spans="1:7" ht="12.75">
      <c r="A27" s="35" t="s">
        <v>17</v>
      </c>
      <c r="B27" s="35"/>
      <c r="C27" s="35"/>
      <c r="D27" s="35"/>
      <c r="E27" s="36"/>
      <c r="F27" s="230">
        <f>(E15*E16*4.182/3600*(50-E17)*364)*(1+E18/100)</f>
        <v>12177.984000000002</v>
      </c>
      <c r="G27" s="36" t="s">
        <v>2</v>
      </c>
    </row>
    <row r="28" spans="1:8" ht="12.75">
      <c r="A28" s="35" t="s">
        <v>52</v>
      </c>
      <c r="B28" s="35"/>
      <c r="C28" s="35"/>
      <c r="D28" s="35"/>
      <c r="E28" s="36"/>
      <c r="F28" s="35"/>
      <c r="G28" s="231">
        <f>F26+F27</f>
        <v>25529.232949771693</v>
      </c>
      <c r="H28" s="36" t="s">
        <v>2</v>
      </c>
    </row>
    <row r="29" spans="1:8" ht="6" customHeight="1">
      <c r="A29" s="337"/>
      <c r="B29" s="337"/>
      <c r="C29" s="337"/>
      <c r="D29" s="337"/>
      <c r="E29" s="345"/>
      <c r="F29" s="337"/>
      <c r="G29" s="234"/>
      <c r="H29" s="345"/>
    </row>
    <row r="30" spans="1:8" ht="12.75">
      <c r="A30" s="35" t="s">
        <v>172</v>
      </c>
      <c r="B30" s="35"/>
      <c r="C30" s="331"/>
      <c r="D30" s="35"/>
      <c r="E30" s="12">
        <v>20</v>
      </c>
      <c r="F30" s="36" t="s">
        <v>173</v>
      </c>
      <c r="G30" s="230">
        <f>E25*E30/100</f>
        <v>2800</v>
      </c>
      <c r="H30" s="36" t="s">
        <v>2</v>
      </c>
    </row>
    <row r="31" spans="1:8" ht="4.5" customHeight="1">
      <c r="A31" s="200"/>
      <c r="B31" s="200"/>
      <c r="C31" s="200"/>
      <c r="D31" s="200"/>
      <c r="E31" s="200"/>
      <c r="F31" s="200"/>
      <c r="G31" s="234"/>
      <c r="H31" s="200"/>
    </row>
    <row r="32" spans="1:8" ht="12.75">
      <c r="A32" s="203" t="s">
        <v>198</v>
      </c>
      <c r="B32" s="204"/>
      <c r="C32" s="204"/>
      <c r="D32" s="204"/>
      <c r="E32" s="204"/>
      <c r="F32" s="204"/>
      <c r="G32" s="233"/>
      <c r="H32" s="37"/>
    </row>
    <row r="33" spans="1:8" ht="12.75">
      <c r="A33" s="337" t="s">
        <v>87</v>
      </c>
      <c r="B33" s="200"/>
      <c r="C33" s="200"/>
      <c r="D33" s="200"/>
      <c r="E33" s="199"/>
      <c r="F33" s="200"/>
      <c r="G33" s="234"/>
      <c r="H33" s="37"/>
    </row>
    <row r="34" spans="1:7" ht="12.75">
      <c r="A34" s="194"/>
      <c r="B34" s="200" t="s">
        <v>16</v>
      </c>
      <c r="C34" s="194"/>
      <c r="D34" s="11">
        <v>10</v>
      </c>
      <c r="E34" s="38" t="s">
        <v>4</v>
      </c>
      <c r="F34" s="235">
        <f>E25*D34/100</f>
        <v>1400</v>
      </c>
      <c r="G34" s="38" t="s">
        <v>2</v>
      </c>
    </row>
    <row r="35" spans="1:7" ht="12.75">
      <c r="A35" s="194"/>
      <c r="B35" s="200" t="s">
        <v>17</v>
      </c>
      <c r="C35" s="200"/>
      <c r="D35" s="11">
        <v>50</v>
      </c>
      <c r="E35" s="38" t="s">
        <v>4</v>
      </c>
      <c r="F35" s="235">
        <f>F27*D35/100</f>
        <v>6088.992000000001</v>
      </c>
      <c r="G35" s="38" t="s">
        <v>2</v>
      </c>
    </row>
    <row r="36" spans="1:8" ht="12.75">
      <c r="A36" s="337" t="s">
        <v>18</v>
      </c>
      <c r="B36" s="337"/>
      <c r="C36" s="200"/>
      <c r="D36" s="200"/>
      <c r="E36" s="37"/>
      <c r="F36" s="37"/>
      <c r="G36" s="230">
        <f>G28-F34-F35</f>
        <v>18040.24094977169</v>
      </c>
      <c r="H36" s="36" t="s">
        <v>2</v>
      </c>
    </row>
    <row r="37" spans="1:8" ht="6.75" customHeight="1">
      <c r="A37" s="337"/>
      <c r="B37" s="337"/>
      <c r="C37" s="200"/>
      <c r="D37" s="200"/>
      <c r="E37" s="37"/>
      <c r="F37" s="37"/>
      <c r="G37" s="359"/>
      <c r="H37" s="36"/>
    </row>
    <row r="38" spans="1:8" ht="12.75">
      <c r="A38" s="337" t="s">
        <v>199</v>
      </c>
      <c r="B38" s="337"/>
      <c r="C38" s="200"/>
      <c r="D38" s="200"/>
      <c r="E38" s="37"/>
      <c r="F38" s="37"/>
      <c r="G38" s="359"/>
      <c r="H38" s="36"/>
    </row>
    <row r="39" spans="1:7" ht="12.75">
      <c r="A39" s="337" t="s">
        <v>172</v>
      </c>
      <c r="C39" s="225"/>
      <c r="D39" s="12">
        <v>0</v>
      </c>
      <c r="E39" s="36" t="s">
        <v>4</v>
      </c>
      <c r="F39" s="230">
        <f>G30*D39/100</f>
        <v>0</v>
      </c>
      <c r="G39" s="36" t="s">
        <v>2</v>
      </c>
    </row>
    <row r="40" spans="1:8" ht="12.75">
      <c r="A40" s="337" t="s">
        <v>200</v>
      </c>
      <c r="B40" s="337"/>
      <c r="C40" s="200"/>
      <c r="D40" s="200"/>
      <c r="E40" s="37"/>
      <c r="F40" s="37"/>
      <c r="G40" s="230">
        <f>G30-F39</f>
        <v>2800</v>
      </c>
      <c r="H40" s="36" t="s">
        <v>2</v>
      </c>
    </row>
    <row r="41" spans="1:8" ht="6.75" customHeight="1">
      <c r="A41" s="37"/>
      <c r="B41" s="37"/>
      <c r="C41" s="37"/>
      <c r="D41" s="37"/>
      <c r="E41" s="37"/>
      <c r="F41" s="37"/>
      <c r="G41" s="232"/>
      <c r="H41" s="37"/>
    </row>
    <row r="42" spans="1:8" ht="12.75">
      <c r="A42" s="201" t="s">
        <v>88</v>
      </c>
      <c r="B42" s="202"/>
      <c r="C42" s="202"/>
      <c r="D42" s="202"/>
      <c r="E42" s="202"/>
      <c r="F42" s="202"/>
      <c r="G42" s="236"/>
      <c r="H42" s="37"/>
    </row>
    <row r="43" spans="1:8" ht="12.75">
      <c r="A43" s="35" t="s">
        <v>76</v>
      </c>
      <c r="B43" s="55"/>
      <c r="C43" s="37"/>
      <c r="D43" s="37"/>
      <c r="E43" s="12">
        <v>35</v>
      </c>
      <c r="F43" s="36" t="s">
        <v>4</v>
      </c>
      <c r="G43" s="345"/>
      <c r="H43" s="35"/>
    </row>
    <row r="44" spans="1:8" ht="12.75">
      <c r="A44" s="35" t="s">
        <v>77</v>
      </c>
      <c r="B44" s="55"/>
      <c r="C44" s="56"/>
      <c r="D44" s="37"/>
      <c r="E44" s="206">
        <v>15</v>
      </c>
      <c r="F44" s="36" t="s">
        <v>90</v>
      </c>
      <c r="G44" s="362"/>
      <c r="H44" s="36"/>
    </row>
    <row r="45" spans="1:8" ht="12.75">
      <c r="A45" s="35" t="s">
        <v>89</v>
      </c>
      <c r="B45" s="55"/>
      <c r="C45" s="56"/>
      <c r="D45" s="37"/>
      <c r="E45" s="206">
        <v>28</v>
      </c>
      <c r="F45" s="36" t="s">
        <v>90</v>
      </c>
      <c r="G45" s="362"/>
      <c r="H45" s="36"/>
    </row>
    <row r="46" spans="1:8" ht="12.75">
      <c r="A46" s="35" t="s">
        <v>202</v>
      </c>
      <c r="B46" s="55"/>
      <c r="C46" s="56"/>
      <c r="D46" s="37"/>
      <c r="E46" s="206">
        <v>22</v>
      </c>
      <c r="F46" s="36" t="s">
        <v>90</v>
      </c>
      <c r="G46" s="362"/>
      <c r="H46" s="36"/>
    </row>
    <row r="47" spans="1:8" ht="12.75">
      <c r="A47" s="37"/>
      <c r="B47" s="37"/>
      <c r="C47" s="37"/>
      <c r="D47" s="37"/>
      <c r="E47" s="37"/>
      <c r="F47" s="37"/>
      <c r="G47" s="237"/>
      <c r="H47" s="37"/>
    </row>
    <row r="48" spans="1:8" ht="15">
      <c r="A48" s="168" t="s">
        <v>78</v>
      </c>
      <c r="B48" s="172"/>
      <c r="C48" s="172"/>
      <c r="D48" s="173"/>
      <c r="E48" s="171"/>
      <c r="F48" s="171"/>
      <c r="G48" s="169"/>
      <c r="H48" s="36"/>
    </row>
    <row r="49" spans="1:8" ht="12.75">
      <c r="A49" s="35" t="s">
        <v>188</v>
      </c>
      <c r="B49" s="56"/>
      <c r="C49" s="39"/>
      <c r="D49" s="56"/>
      <c r="E49" s="363">
        <f>E21</f>
        <v>1500</v>
      </c>
      <c r="F49" s="35" t="s">
        <v>23</v>
      </c>
      <c r="G49" s="339">
        <f>E25/E49</f>
        <v>9.333333333333334</v>
      </c>
      <c r="H49" s="36" t="s">
        <v>79</v>
      </c>
    </row>
    <row r="50" spans="1:8" ht="12.75">
      <c r="A50" s="35" t="s">
        <v>185</v>
      </c>
      <c r="B50" s="56"/>
      <c r="C50" s="39"/>
      <c r="D50" s="56"/>
      <c r="E50" s="12">
        <v>0.2</v>
      </c>
      <c r="F50" s="35" t="s">
        <v>186</v>
      </c>
      <c r="G50" s="339">
        <f>E50*E15</f>
        <v>2</v>
      </c>
      <c r="H50" s="36" t="s">
        <v>79</v>
      </c>
    </row>
    <row r="51" spans="1:8" s="341" customFormat="1" ht="7.5" customHeight="1">
      <c r="A51" s="337"/>
      <c r="B51" s="342"/>
      <c r="C51" s="200"/>
      <c r="D51" s="342"/>
      <c r="E51" s="337"/>
      <c r="F51" s="337"/>
      <c r="G51" s="344"/>
      <c r="H51" s="345"/>
    </row>
    <row r="52" spans="1:8" ht="12.75">
      <c r="A52" s="35" t="s">
        <v>191</v>
      </c>
      <c r="B52" s="342"/>
      <c r="C52" s="194"/>
      <c r="D52" s="342"/>
      <c r="E52" s="12">
        <f>30*24</f>
        <v>720</v>
      </c>
      <c r="F52" s="35" t="s">
        <v>23</v>
      </c>
      <c r="G52" s="339">
        <f>G30/E52</f>
        <v>3.888888888888889</v>
      </c>
      <c r="H52" s="36" t="s">
        <v>79</v>
      </c>
    </row>
    <row r="53" spans="1:8" ht="8.25" customHeight="1">
      <c r="A53" s="35"/>
      <c r="B53" s="342"/>
      <c r="C53" s="194"/>
      <c r="D53" s="342"/>
      <c r="E53" s="336"/>
      <c r="F53" s="337"/>
      <c r="G53" s="344"/>
      <c r="H53" s="345"/>
    </row>
    <row r="54" spans="1:8" ht="12.75">
      <c r="A54" s="337" t="s">
        <v>201</v>
      </c>
      <c r="B54" s="194"/>
      <c r="C54" s="338"/>
      <c r="D54" s="338"/>
      <c r="E54" s="12">
        <v>2</v>
      </c>
      <c r="F54" s="225" t="s">
        <v>23</v>
      </c>
      <c r="G54" s="349">
        <f>IF(E54&lt;2,0,IF(E54&lt;4,5,IF(E54&lt;6,10,IF(E54&lt;6,15,"Bitte Eingabe prüfen"))))</f>
        <v>5</v>
      </c>
      <c r="H54" s="346" t="s">
        <v>4</v>
      </c>
    </row>
    <row r="55" spans="1:8" s="338" customFormat="1" ht="6" customHeight="1">
      <c r="A55" s="337"/>
      <c r="B55" s="194"/>
      <c r="C55" s="337"/>
      <c r="D55" s="225"/>
      <c r="E55" s="225"/>
      <c r="F55" s="346"/>
      <c r="G55" s="194"/>
      <c r="H55" s="194"/>
    </row>
    <row r="56" spans="1:8" ht="12.75">
      <c r="A56" s="340" t="s">
        <v>187</v>
      </c>
      <c r="B56" s="194"/>
      <c r="C56" s="194"/>
      <c r="D56" s="194"/>
      <c r="E56" s="337"/>
      <c r="F56" s="337"/>
      <c r="G56" s="347">
        <f>(G49+G50)*(1+G54/100)</f>
        <v>11.9</v>
      </c>
      <c r="H56" s="348" t="s">
        <v>79</v>
      </c>
    </row>
    <row r="57" spans="1:8" ht="12.75">
      <c r="A57" s="340" t="s">
        <v>189</v>
      </c>
      <c r="B57" s="194"/>
      <c r="C57" s="194"/>
      <c r="D57" s="194"/>
      <c r="E57" s="337"/>
      <c r="F57" s="337"/>
      <c r="G57" s="347">
        <f>G52*(1+G54/100)</f>
        <v>4.083333333333333</v>
      </c>
      <c r="H57" s="348" t="s">
        <v>79</v>
      </c>
    </row>
    <row r="58" spans="1:8" ht="12.75">
      <c r="A58" s="39"/>
      <c r="B58" s="39"/>
      <c r="C58" s="39"/>
      <c r="D58" s="39"/>
      <c r="E58" s="39"/>
      <c r="F58" s="39"/>
      <c r="G58" s="39"/>
      <c r="H58" s="39"/>
    </row>
    <row r="59" spans="1:8" ht="15.75">
      <c r="A59" s="57" t="s">
        <v>56</v>
      </c>
      <c r="B59" s="58"/>
      <c r="C59" s="58"/>
      <c r="D59" s="59" t="s">
        <v>54</v>
      </c>
      <c r="E59" s="58"/>
      <c r="F59" s="58"/>
      <c r="G59" s="60"/>
      <c r="H59" s="61"/>
    </row>
    <row r="60" spans="1:8" ht="12.75">
      <c r="A60" s="62"/>
      <c r="B60" s="63"/>
      <c r="C60" s="63"/>
      <c r="D60" s="64" t="s">
        <v>55</v>
      </c>
      <c r="E60" s="63"/>
      <c r="F60" s="63"/>
      <c r="G60" s="174"/>
      <c r="H60" s="65"/>
    </row>
    <row r="61" spans="1:8" ht="6.75" customHeight="1">
      <c r="A61" s="62"/>
      <c r="B61" s="63"/>
      <c r="C61" s="63"/>
      <c r="D61" s="63"/>
      <c r="E61" s="63"/>
      <c r="F61" s="63"/>
      <c r="G61" s="63"/>
      <c r="H61" s="65"/>
    </row>
    <row r="62" spans="1:8" ht="12.75">
      <c r="A62" s="370" t="s">
        <v>190</v>
      </c>
      <c r="B62" s="371"/>
      <c r="C62" s="371"/>
      <c r="D62" s="371"/>
      <c r="E62" s="371"/>
      <c r="F62" s="371"/>
      <c r="G62" s="371"/>
      <c r="H62" s="372"/>
    </row>
    <row r="63" spans="1:8" ht="12.75">
      <c r="A63" s="373"/>
      <c r="B63" s="371"/>
      <c r="C63" s="371"/>
      <c r="D63" s="371"/>
      <c r="E63" s="371"/>
      <c r="F63" s="371"/>
      <c r="G63" s="371"/>
      <c r="H63" s="372"/>
    </row>
    <row r="64" spans="1:8" ht="12.75">
      <c r="A64" s="374"/>
      <c r="B64" s="375"/>
      <c r="C64" s="375"/>
      <c r="D64" s="375"/>
      <c r="E64" s="375"/>
      <c r="F64" s="375"/>
      <c r="G64" s="375"/>
      <c r="H64" s="376"/>
    </row>
  </sheetData>
  <sheetProtection password="CC3F" sheet="1"/>
  <mergeCells count="6">
    <mergeCell ref="A62:H64"/>
    <mergeCell ref="F9:H12"/>
    <mergeCell ref="A5:D5"/>
    <mergeCell ref="F5:G5"/>
    <mergeCell ref="G7:G8"/>
    <mergeCell ref="H7:H8"/>
  </mergeCells>
  <dataValidations count="1">
    <dataValidation allowBlank="1" showInputMessage="1" showErrorMessage="1" promptTitle="Bitte Beachten" prompt="Bei Angaben mit 60°C  WW-Verbrauch entsprechend auf 45°C hochrechnen.&#10;Bei Zirkulation höheren WW-Verbrauch ansetzen (Faktor 1,4 - 1,6)." sqref="E16"/>
  </dataValidations>
  <printOptions/>
  <pageMargins left="0.787401575" right="0.787401575" top="0.984251969" bottom="0.984251969" header="0.4921259845" footer="0.49212598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K72"/>
  <sheetViews>
    <sheetView zoomScalePageLayoutView="0" workbookViewId="0" topLeftCell="A1">
      <selection activeCell="F25" sqref="F25"/>
    </sheetView>
  </sheetViews>
  <sheetFormatPr defaultColWidth="11.421875" defaultRowHeight="12.75"/>
  <cols>
    <col min="1" max="1" width="47.28125" style="34" customWidth="1"/>
    <col min="2" max="2" width="20.7109375" style="114" customWidth="1"/>
    <col min="3" max="3" width="14.57421875" style="115" customWidth="1"/>
    <col min="4" max="4" width="19.8515625" style="114" customWidth="1"/>
    <col min="5" max="5" width="14.57421875" style="115" customWidth="1"/>
    <col min="6" max="6" width="20.00390625" style="114" customWidth="1"/>
    <col min="7" max="7" width="14.57421875" style="115" customWidth="1"/>
    <col min="8" max="8" width="21.140625" style="114" customWidth="1"/>
    <col min="9" max="9" width="14.57421875" style="115" customWidth="1"/>
    <col min="10" max="10" width="17.00390625" style="121" customWidth="1"/>
    <col min="11" max="11" width="13.28125" style="117" bestFit="1" customWidth="1"/>
    <col min="12" max="12" width="17.00390625" style="121" customWidth="1"/>
    <col min="13" max="13" width="13.28125" style="117" bestFit="1" customWidth="1"/>
    <col min="14" max="14" width="16.00390625" style="113" customWidth="1"/>
    <col min="15" max="15" width="13.28125" style="101" bestFit="1" customWidth="1"/>
    <col min="16" max="16" width="16.00390625" style="113" customWidth="1"/>
    <col min="17" max="17" width="13.28125" style="101" bestFit="1" customWidth="1"/>
    <col min="18" max="18" width="9.57421875" style="115" customWidth="1"/>
    <col min="19" max="19" width="13.28125" style="115" bestFit="1" customWidth="1"/>
    <col min="20" max="20" width="14.57421875" style="114" customWidth="1"/>
    <col min="21" max="21" width="13.28125" style="115" bestFit="1" customWidth="1"/>
    <col min="22" max="22" width="18.00390625" style="114" customWidth="1"/>
    <col min="23" max="23" width="13.28125" style="115" bestFit="1" customWidth="1"/>
    <col min="24" max="24" width="18.00390625" style="114" customWidth="1"/>
    <col min="25" max="25" width="13.28125" style="115" bestFit="1" customWidth="1"/>
    <col min="26" max="26" width="21.00390625" style="114" customWidth="1"/>
    <col min="27" max="27" width="14.57421875" style="115" customWidth="1"/>
    <col min="28" max="28" width="21.00390625" style="114" customWidth="1"/>
    <col min="29" max="29" width="14.57421875" style="115" customWidth="1"/>
    <col min="34" max="34" width="24.7109375" style="114" customWidth="1"/>
    <col min="35" max="35" width="14.57421875" style="115" customWidth="1"/>
    <col min="36" max="36" width="23.28125" style="114" customWidth="1"/>
    <col min="37" max="37" width="14.57421875" style="115" customWidth="1"/>
    <col min="38" max="16384" width="11.421875" style="34" customWidth="1"/>
  </cols>
  <sheetData>
    <row r="1" spans="2:37" s="39" customFormat="1" ht="48.75" customHeight="1" thickBot="1">
      <c r="B1" s="388" t="s">
        <v>145</v>
      </c>
      <c r="C1" s="389"/>
      <c r="D1" s="388" t="s">
        <v>146</v>
      </c>
      <c r="E1" s="394"/>
      <c r="F1" s="390" t="s">
        <v>147</v>
      </c>
      <c r="G1" s="391"/>
      <c r="H1" s="390" t="s">
        <v>148</v>
      </c>
      <c r="I1" s="395"/>
      <c r="J1" s="403" t="s">
        <v>149</v>
      </c>
      <c r="K1" s="404"/>
      <c r="L1" s="396" t="s">
        <v>150</v>
      </c>
      <c r="M1" s="397"/>
      <c r="N1" s="398" t="s">
        <v>155</v>
      </c>
      <c r="O1" s="399"/>
      <c r="P1" s="398" t="s">
        <v>153</v>
      </c>
      <c r="Q1" s="399"/>
      <c r="R1" s="400" t="s">
        <v>154</v>
      </c>
      <c r="S1" s="401"/>
      <c r="T1" s="400" t="s">
        <v>152</v>
      </c>
      <c r="U1" s="401"/>
      <c r="V1" s="396" t="s">
        <v>156</v>
      </c>
      <c r="W1" s="402"/>
      <c r="X1" s="396" t="s">
        <v>151</v>
      </c>
      <c r="Y1" s="402"/>
      <c r="Z1" s="392" t="s">
        <v>167</v>
      </c>
      <c r="AA1" s="393"/>
      <c r="AB1" s="392" t="s">
        <v>168</v>
      </c>
      <c r="AC1" s="393"/>
      <c r="AH1" s="386" t="s">
        <v>110</v>
      </c>
      <c r="AI1" s="387"/>
      <c r="AJ1" s="386" t="s">
        <v>110</v>
      </c>
      <c r="AK1" s="387"/>
    </row>
    <row r="2" spans="1:37" ht="12.75">
      <c r="A2" s="79" t="s">
        <v>95</v>
      </c>
      <c r="B2" s="66"/>
      <c r="C2" s="68"/>
      <c r="D2" s="66"/>
      <c r="E2" s="69"/>
      <c r="F2" s="66"/>
      <c r="G2" s="69"/>
      <c r="H2" s="66"/>
      <c r="I2" s="69"/>
      <c r="J2" s="70"/>
      <c r="K2" s="67"/>
      <c r="L2" s="66"/>
      <c r="M2" s="328"/>
      <c r="N2" s="66"/>
      <c r="O2" s="69"/>
      <c r="P2" s="66"/>
      <c r="Q2" s="69"/>
      <c r="R2" s="66"/>
      <c r="S2" s="69"/>
      <c r="T2" s="66"/>
      <c r="U2" s="69"/>
      <c r="V2" s="66"/>
      <c r="W2" s="69"/>
      <c r="X2" s="66"/>
      <c r="Y2" s="69"/>
      <c r="Z2" s="66"/>
      <c r="AA2" s="69"/>
      <c r="AB2" s="66"/>
      <c r="AC2" s="69"/>
      <c r="AH2" s="66"/>
      <c r="AI2" s="69"/>
      <c r="AJ2" s="70"/>
      <c r="AK2" s="69"/>
    </row>
    <row r="3" spans="1:37" s="71" customFormat="1" ht="12.75">
      <c r="A3" s="1" t="s">
        <v>83</v>
      </c>
      <c r="B3" s="25">
        <f>'1. Ermittlung Energieverbrauch'!E46</f>
        <v>22</v>
      </c>
      <c r="C3" s="278" t="s">
        <v>39</v>
      </c>
      <c r="D3" s="25">
        <f>'1. Ermittlung Energieverbrauch'!E46</f>
        <v>22</v>
      </c>
      <c r="E3" s="270" t="s">
        <v>39</v>
      </c>
      <c r="F3" s="25">
        <f>'1. Ermittlung Energieverbrauch'!E46</f>
        <v>22</v>
      </c>
      <c r="G3" s="270" t="s">
        <v>39</v>
      </c>
      <c r="H3" s="25">
        <f>'1. Ermittlung Energieverbrauch'!E46</f>
        <v>22</v>
      </c>
      <c r="I3" s="270" t="s">
        <v>39</v>
      </c>
      <c r="J3" s="26">
        <v>275</v>
      </c>
      <c r="K3" s="278" t="s">
        <v>38</v>
      </c>
      <c r="L3" s="25">
        <v>275</v>
      </c>
      <c r="M3" s="270" t="s">
        <v>38</v>
      </c>
      <c r="N3" s="25">
        <v>0.753</v>
      </c>
      <c r="O3" s="270" t="s">
        <v>46</v>
      </c>
      <c r="P3" s="25">
        <v>0.7</v>
      </c>
      <c r="Q3" s="270" t="s">
        <v>46</v>
      </c>
      <c r="R3" s="25">
        <v>6.5</v>
      </c>
      <c r="S3" s="270" t="s">
        <v>39</v>
      </c>
      <c r="T3" s="25">
        <v>6</v>
      </c>
      <c r="U3" s="270" t="s">
        <v>39</v>
      </c>
      <c r="V3" s="25">
        <v>45</v>
      </c>
      <c r="W3" s="270" t="s">
        <v>72</v>
      </c>
      <c r="X3" s="25">
        <v>45</v>
      </c>
      <c r="Y3" s="270" t="s">
        <v>72</v>
      </c>
      <c r="Z3" s="25">
        <f>'1. Ermittlung Energieverbrauch'!E46</f>
        <v>22</v>
      </c>
      <c r="AA3" s="270" t="s">
        <v>39</v>
      </c>
      <c r="AB3" s="25">
        <f>'1. Ermittlung Energieverbrauch'!E46</f>
        <v>22</v>
      </c>
      <c r="AC3" s="270" t="s">
        <v>39</v>
      </c>
      <c r="AH3" s="25">
        <f>'1. Ermittlung Energieverbrauch'!E46</f>
        <v>22</v>
      </c>
      <c r="AI3" s="270" t="s">
        <v>39</v>
      </c>
      <c r="AJ3" s="26">
        <f>'1. Ermittlung Energieverbrauch'!E46</f>
        <v>22</v>
      </c>
      <c r="AK3" s="270" t="s">
        <v>39</v>
      </c>
    </row>
    <row r="4" spans="1:37" s="71" customFormat="1" ht="12.75">
      <c r="A4" s="1" t="s">
        <v>93</v>
      </c>
      <c r="B4" s="205">
        <f>'1. Ermittlung Energieverbrauch'!E44</f>
        <v>15</v>
      </c>
      <c r="C4" s="278" t="s">
        <v>39</v>
      </c>
      <c r="D4" s="205">
        <f>'1. Ermittlung Energieverbrauch'!E44</f>
        <v>15</v>
      </c>
      <c r="E4" s="270" t="s">
        <v>39</v>
      </c>
      <c r="F4" s="205">
        <f>'1. Ermittlung Energieverbrauch'!E44</f>
        <v>15</v>
      </c>
      <c r="G4" s="270" t="s">
        <v>39</v>
      </c>
      <c r="H4" s="205">
        <f>'1. Ermittlung Energieverbrauch'!E44</f>
        <v>15</v>
      </c>
      <c r="I4" s="270" t="s">
        <v>39</v>
      </c>
      <c r="J4" s="305"/>
      <c r="K4" s="278"/>
      <c r="L4" s="175"/>
      <c r="M4" s="270"/>
      <c r="N4" s="175"/>
      <c r="O4" s="270"/>
      <c r="P4" s="175"/>
      <c r="Q4" s="270"/>
      <c r="R4" s="175"/>
      <c r="S4" s="270"/>
      <c r="T4" s="175"/>
      <c r="U4" s="270"/>
      <c r="V4" s="175"/>
      <c r="W4" s="270"/>
      <c r="X4" s="175"/>
      <c r="Y4" s="270"/>
      <c r="Z4" s="205">
        <f>'1. Ermittlung Energieverbrauch'!E44</f>
        <v>15</v>
      </c>
      <c r="AA4" s="270" t="s">
        <v>39</v>
      </c>
      <c r="AB4" s="205">
        <f>'1. Ermittlung Energieverbrauch'!E44</f>
        <v>15</v>
      </c>
      <c r="AC4" s="270" t="s">
        <v>39</v>
      </c>
      <c r="AH4" s="205">
        <v>15</v>
      </c>
      <c r="AI4" s="270" t="s">
        <v>39</v>
      </c>
      <c r="AJ4" s="205">
        <v>15</v>
      </c>
      <c r="AK4" s="270" t="s">
        <v>39</v>
      </c>
    </row>
    <row r="5" spans="1:37" s="71" customFormat="1" ht="12.75">
      <c r="A5" s="1" t="s">
        <v>94</v>
      </c>
      <c r="B5" s="25">
        <f>'1. Ermittlung Energieverbrauch'!E43</f>
        <v>35</v>
      </c>
      <c r="C5" s="278" t="s">
        <v>4</v>
      </c>
      <c r="D5" s="25">
        <f>'1. Ermittlung Energieverbrauch'!E43</f>
        <v>35</v>
      </c>
      <c r="E5" s="270" t="s">
        <v>4</v>
      </c>
      <c r="F5" s="25">
        <f>'1. Ermittlung Energieverbrauch'!E43</f>
        <v>35</v>
      </c>
      <c r="G5" s="270" t="s">
        <v>4</v>
      </c>
      <c r="H5" s="25">
        <f>'1. Ermittlung Energieverbrauch'!E43</f>
        <v>35</v>
      </c>
      <c r="I5" s="270" t="s">
        <v>4</v>
      </c>
      <c r="J5" s="305"/>
      <c r="K5" s="278"/>
      <c r="L5" s="175"/>
      <c r="M5" s="270"/>
      <c r="N5" s="175"/>
      <c r="O5" s="270"/>
      <c r="P5" s="175"/>
      <c r="Q5" s="270"/>
      <c r="R5" s="175"/>
      <c r="S5" s="270"/>
      <c r="T5" s="175"/>
      <c r="U5" s="270"/>
      <c r="V5" s="175"/>
      <c r="W5" s="270"/>
      <c r="X5" s="175"/>
      <c r="Y5" s="270"/>
      <c r="Z5" s="25">
        <v>10</v>
      </c>
      <c r="AA5" s="270" t="s">
        <v>4</v>
      </c>
      <c r="AB5" s="25">
        <v>10</v>
      </c>
      <c r="AC5" s="270" t="s">
        <v>4</v>
      </c>
      <c r="AH5" s="25">
        <v>35</v>
      </c>
      <c r="AI5" s="270" t="s">
        <v>4</v>
      </c>
      <c r="AJ5" s="26">
        <v>35</v>
      </c>
      <c r="AK5" s="270" t="s">
        <v>4</v>
      </c>
    </row>
    <row r="6" spans="1:37" s="72" customFormat="1" ht="12.75">
      <c r="A6" s="245" t="s">
        <v>74</v>
      </c>
      <c r="B6" s="246">
        <f>B3*(100-B5)/100+B4*B5/100</f>
        <v>19.55</v>
      </c>
      <c r="C6" s="249" t="s">
        <v>39</v>
      </c>
      <c r="D6" s="246">
        <f>D3*(100-D5)/100+D4*D5/100</f>
        <v>19.55</v>
      </c>
      <c r="E6" s="247" t="s">
        <v>39</v>
      </c>
      <c r="F6" s="246">
        <f>F3*(100-F5)/100+F4*F5/100</f>
        <v>19.55</v>
      </c>
      <c r="G6" s="247" t="s">
        <v>39</v>
      </c>
      <c r="H6" s="246">
        <f>H3*(100-H5)/100+H4*H5/100</f>
        <v>19.55</v>
      </c>
      <c r="I6" s="247" t="s">
        <v>39</v>
      </c>
      <c r="J6" s="248">
        <f>J3/J23/1000*100</f>
        <v>5.612244897959183</v>
      </c>
      <c r="K6" s="249" t="s">
        <v>39</v>
      </c>
      <c r="L6" s="246">
        <f>L3/L23/1000*100</f>
        <v>5.612244897959183</v>
      </c>
      <c r="M6" s="247" t="s">
        <v>39</v>
      </c>
      <c r="N6" s="246">
        <f>N3/N23*100</f>
        <v>7.53</v>
      </c>
      <c r="O6" s="247" t="s">
        <v>39</v>
      </c>
      <c r="P6" s="246">
        <f>P3/P23*100</f>
        <v>6.999999999999999</v>
      </c>
      <c r="Q6" s="247" t="s">
        <v>39</v>
      </c>
      <c r="R6" s="246">
        <f>R3</f>
        <v>6.5</v>
      </c>
      <c r="S6" s="247" t="s">
        <v>39</v>
      </c>
      <c r="T6" s="246">
        <f>T3</f>
        <v>6</v>
      </c>
      <c r="U6" s="247" t="s">
        <v>39</v>
      </c>
      <c r="V6" s="246">
        <f>V3/V23/V24</f>
        <v>6.855889208830385</v>
      </c>
      <c r="W6" s="247" t="s">
        <v>39</v>
      </c>
      <c r="X6" s="246">
        <f>X3/X23/X24</f>
        <v>6.855889208830385</v>
      </c>
      <c r="Y6" s="247" t="s">
        <v>39</v>
      </c>
      <c r="Z6" s="246">
        <f>Z3*(100-Z5)/100+Z4*Z5/100</f>
        <v>21.3</v>
      </c>
      <c r="AA6" s="247" t="s">
        <v>39</v>
      </c>
      <c r="AB6" s="246">
        <f>AB3*(100-AB5)/100+AB4*AB5/100</f>
        <v>21.3</v>
      </c>
      <c r="AC6" s="247" t="s">
        <v>39</v>
      </c>
      <c r="AH6" s="246">
        <f>AH3*(100-AH5)/100+AH4*AH5/100</f>
        <v>19.55</v>
      </c>
      <c r="AI6" s="247" t="s">
        <v>39</v>
      </c>
      <c r="AJ6" s="248">
        <f>AJ3*(100-AJ5)/100+AJ4*AJ5/100</f>
        <v>19.55</v>
      </c>
      <c r="AK6" s="247" t="s">
        <v>39</v>
      </c>
    </row>
    <row r="7" spans="1:37" s="73" customFormat="1" ht="12.75">
      <c r="A7" s="2" t="s">
        <v>98</v>
      </c>
      <c r="B7" s="25">
        <v>0</v>
      </c>
      <c r="C7" s="300" t="s">
        <v>40</v>
      </c>
      <c r="D7" s="25">
        <v>0</v>
      </c>
      <c r="E7" s="271" t="s">
        <v>40</v>
      </c>
      <c r="F7" s="25">
        <v>0</v>
      </c>
      <c r="G7" s="271" t="s">
        <v>40</v>
      </c>
      <c r="H7" s="25">
        <v>0</v>
      </c>
      <c r="I7" s="271" t="s">
        <v>40</v>
      </c>
      <c r="J7" s="14">
        <v>0</v>
      </c>
      <c r="K7" s="279" t="s">
        <v>40</v>
      </c>
      <c r="L7" s="15">
        <v>0</v>
      </c>
      <c r="M7" s="321" t="s">
        <v>40</v>
      </c>
      <c r="N7" s="15">
        <v>0</v>
      </c>
      <c r="O7" s="321" t="s">
        <v>40</v>
      </c>
      <c r="P7" s="15">
        <v>0</v>
      </c>
      <c r="Q7" s="321" t="s">
        <v>40</v>
      </c>
      <c r="R7" s="25">
        <v>33.82</v>
      </c>
      <c r="S7" s="271" t="s">
        <v>40</v>
      </c>
      <c r="T7" s="25">
        <v>33.82</v>
      </c>
      <c r="U7" s="271" t="s">
        <v>40</v>
      </c>
      <c r="V7" s="25">
        <v>12</v>
      </c>
      <c r="W7" s="271" t="s">
        <v>40</v>
      </c>
      <c r="X7" s="25">
        <v>12</v>
      </c>
      <c r="Y7" s="271" t="s">
        <v>40</v>
      </c>
      <c r="Z7" s="25">
        <v>20</v>
      </c>
      <c r="AA7" s="271" t="s">
        <v>40</v>
      </c>
      <c r="AB7" s="25">
        <v>20</v>
      </c>
      <c r="AC7" s="271" t="s">
        <v>40</v>
      </c>
      <c r="AH7" s="25">
        <v>10</v>
      </c>
      <c r="AI7" s="271" t="s">
        <v>40</v>
      </c>
      <c r="AJ7" s="26">
        <v>10</v>
      </c>
      <c r="AK7" s="271" t="s">
        <v>40</v>
      </c>
    </row>
    <row r="8" spans="1:37" ht="12.75">
      <c r="A8" s="3" t="s">
        <v>19</v>
      </c>
      <c r="B8" s="176"/>
      <c r="C8" s="301"/>
      <c r="D8" s="176"/>
      <c r="E8" s="272"/>
      <c r="F8" s="176"/>
      <c r="G8" s="272"/>
      <c r="H8" s="176"/>
      <c r="I8" s="272"/>
      <c r="J8" s="26">
        <v>80</v>
      </c>
      <c r="K8" s="280" t="s">
        <v>4</v>
      </c>
      <c r="L8" s="25">
        <v>85</v>
      </c>
      <c r="M8" s="319" t="s">
        <v>4</v>
      </c>
      <c r="N8" s="25">
        <v>82.5</v>
      </c>
      <c r="O8" s="272" t="s">
        <v>4</v>
      </c>
      <c r="P8" s="25">
        <v>87.5</v>
      </c>
      <c r="Q8" s="272" t="s">
        <v>4</v>
      </c>
      <c r="R8" s="25">
        <v>92</v>
      </c>
      <c r="S8" s="272" t="s">
        <v>4</v>
      </c>
      <c r="T8" s="25">
        <v>97</v>
      </c>
      <c r="U8" s="272" t="s">
        <v>4</v>
      </c>
      <c r="V8" s="25">
        <v>97</v>
      </c>
      <c r="W8" s="272" t="s">
        <v>4</v>
      </c>
      <c r="X8" s="25">
        <v>97</v>
      </c>
      <c r="Y8" s="272" t="s">
        <v>4</v>
      </c>
      <c r="Z8" s="25">
        <v>95</v>
      </c>
      <c r="AA8" s="272" t="s">
        <v>4</v>
      </c>
      <c r="AB8" s="25">
        <v>95</v>
      </c>
      <c r="AC8" s="272" t="s">
        <v>4</v>
      </c>
      <c r="AH8" s="176"/>
      <c r="AI8" s="272"/>
      <c r="AJ8" s="176"/>
      <c r="AK8" s="272"/>
    </row>
    <row r="9" spans="1:37" ht="12.75">
      <c r="A9" s="3" t="s">
        <v>99</v>
      </c>
      <c r="B9" s="176"/>
      <c r="C9" s="301"/>
      <c r="D9" s="176"/>
      <c r="E9" s="272"/>
      <c r="F9" s="176"/>
      <c r="G9" s="272"/>
      <c r="H9" s="176"/>
      <c r="I9" s="272"/>
      <c r="J9" s="26">
        <v>900</v>
      </c>
      <c r="K9" s="280" t="s">
        <v>2</v>
      </c>
      <c r="L9" s="25">
        <v>400</v>
      </c>
      <c r="M9" s="319" t="s">
        <v>2</v>
      </c>
      <c r="N9" s="25">
        <v>200</v>
      </c>
      <c r="O9" s="319" t="s">
        <v>2</v>
      </c>
      <c r="P9" s="25">
        <v>200</v>
      </c>
      <c r="Q9" s="319" t="s">
        <v>2</v>
      </c>
      <c r="R9" s="25">
        <v>200</v>
      </c>
      <c r="S9" s="319" t="s">
        <v>2</v>
      </c>
      <c r="T9" s="25">
        <v>200</v>
      </c>
      <c r="U9" s="319" t="s">
        <v>2</v>
      </c>
      <c r="V9" s="25">
        <v>200</v>
      </c>
      <c r="W9" s="319" t="s">
        <v>2</v>
      </c>
      <c r="X9" s="25">
        <v>200</v>
      </c>
      <c r="Y9" s="319" t="s">
        <v>2</v>
      </c>
      <c r="Z9" s="167"/>
      <c r="AA9" s="272"/>
      <c r="AB9" s="167"/>
      <c r="AC9" s="272"/>
      <c r="AH9" s="176"/>
      <c r="AI9" s="272"/>
      <c r="AJ9" s="176"/>
      <c r="AK9" s="272"/>
    </row>
    <row r="10" spans="1:37" s="75" customFormat="1" ht="15" customHeight="1">
      <c r="A10" s="4" t="s">
        <v>178</v>
      </c>
      <c r="B10" s="30">
        <v>3.75</v>
      </c>
      <c r="C10" s="302" t="s">
        <v>86</v>
      </c>
      <c r="D10" s="30">
        <v>3.75</v>
      </c>
      <c r="E10" s="273" t="s">
        <v>86</v>
      </c>
      <c r="F10" s="30">
        <v>4.9</v>
      </c>
      <c r="G10" s="273" t="s">
        <v>86</v>
      </c>
      <c r="H10" s="30">
        <v>4.9</v>
      </c>
      <c r="I10" s="273" t="s">
        <v>86</v>
      </c>
      <c r="J10" s="306"/>
      <c r="K10" s="281"/>
      <c r="L10" s="17"/>
      <c r="M10" s="322"/>
      <c r="N10" s="17"/>
      <c r="O10" s="322"/>
      <c r="P10" s="17"/>
      <c r="Q10" s="322"/>
      <c r="R10" s="74"/>
      <c r="S10" s="273"/>
      <c r="T10" s="74"/>
      <c r="U10" s="273"/>
      <c r="V10" s="74"/>
      <c r="W10" s="273"/>
      <c r="X10" s="74"/>
      <c r="Y10" s="273"/>
      <c r="Z10" s="74"/>
      <c r="AA10" s="273"/>
      <c r="AB10" s="74"/>
      <c r="AC10" s="273"/>
      <c r="AH10" s="30">
        <v>3.5</v>
      </c>
      <c r="AI10" s="273" t="s">
        <v>86</v>
      </c>
      <c r="AJ10" s="29">
        <v>4.5</v>
      </c>
      <c r="AK10" s="273" t="s">
        <v>86</v>
      </c>
    </row>
    <row r="11" spans="1:37" s="75" customFormat="1" ht="15" customHeight="1">
      <c r="A11" s="4" t="s">
        <v>179</v>
      </c>
      <c r="B11" s="30">
        <v>2.75</v>
      </c>
      <c r="C11" s="302" t="s">
        <v>86</v>
      </c>
      <c r="D11" s="30">
        <v>2.75</v>
      </c>
      <c r="E11" s="273" t="s">
        <v>86</v>
      </c>
      <c r="F11" s="30">
        <v>35</v>
      </c>
      <c r="G11" s="273" t="s">
        <v>86</v>
      </c>
      <c r="H11" s="30">
        <v>35</v>
      </c>
      <c r="I11" s="273"/>
      <c r="J11" s="306"/>
      <c r="K11" s="281"/>
      <c r="L11" s="17"/>
      <c r="M11" s="322"/>
      <c r="N11" s="17"/>
      <c r="O11" s="322"/>
      <c r="P11" s="17"/>
      <c r="Q11" s="322"/>
      <c r="R11" s="74"/>
      <c r="S11" s="273"/>
      <c r="T11" s="74"/>
      <c r="U11" s="273"/>
      <c r="V11" s="74"/>
      <c r="W11" s="273"/>
      <c r="X11" s="74"/>
      <c r="Y11" s="273"/>
      <c r="Z11" s="74"/>
      <c r="AA11" s="273"/>
      <c r="AB11" s="74"/>
      <c r="AC11" s="273"/>
      <c r="AH11" s="30"/>
      <c r="AI11" s="273"/>
      <c r="AJ11" s="29"/>
      <c r="AK11" s="273"/>
    </row>
    <row r="12" spans="1:37" s="76" customFormat="1" ht="12.75">
      <c r="A12" s="5" t="s">
        <v>75</v>
      </c>
      <c r="B12" s="27">
        <v>2</v>
      </c>
      <c r="C12" s="282" t="s">
        <v>41</v>
      </c>
      <c r="D12" s="27">
        <v>2</v>
      </c>
      <c r="E12" s="274" t="s">
        <v>41</v>
      </c>
      <c r="F12" s="27">
        <v>2</v>
      </c>
      <c r="G12" s="274" t="s">
        <v>41</v>
      </c>
      <c r="H12" s="27">
        <v>2</v>
      </c>
      <c r="I12" s="274" t="s">
        <v>41</v>
      </c>
      <c r="J12" s="26">
        <v>2</v>
      </c>
      <c r="K12" s="282" t="s">
        <v>41</v>
      </c>
      <c r="L12" s="25">
        <v>2</v>
      </c>
      <c r="M12" s="274" t="s">
        <v>41</v>
      </c>
      <c r="N12" s="27">
        <v>3.5</v>
      </c>
      <c r="O12" s="274" t="s">
        <v>41</v>
      </c>
      <c r="P12" s="27">
        <v>3.5</v>
      </c>
      <c r="Q12" s="274" t="s">
        <v>41</v>
      </c>
      <c r="R12" s="27">
        <v>3.5</v>
      </c>
      <c r="S12" s="274" t="s">
        <v>41</v>
      </c>
      <c r="T12" s="27">
        <v>3.5</v>
      </c>
      <c r="U12" s="274" t="s">
        <v>41</v>
      </c>
      <c r="V12" s="27">
        <v>3.5</v>
      </c>
      <c r="W12" s="274" t="s">
        <v>41</v>
      </c>
      <c r="X12" s="27">
        <v>3.5</v>
      </c>
      <c r="Y12" s="274" t="s">
        <v>41</v>
      </c>
      <c r="Z12" s="27">
        <v>2</v>
      </c>
      <c r="AA12" s="274" t="s">
        <v>41</v>
      </c>
      <c r="AB12" s="27">
        <v>2</v>
      </c>
      <c r="AC12" s="274" t="s">
        <v>41</v>
      </c>
      <c r="AH12" s="27">
        <v>2</v>
      </c>
      <c r="AI12" s="274" t="s">
        <v>41</v>
      </c>
      <c r="AJ12" s="28">
        <v>2</v>
      </c>
      <c r="AK12" s="274" t="s">
        <v>41</v>
      </c>
    </row>
    <row r="13" spans="1:37" s="77" customFormat="1" ht="12.75">
      <c r="A13" s="238" t="s">
        <v>157</v>
      </c>
      <c r="B13" s="239">
        <f>'1. Ermittlung Energieverbrauch'!G28/B10</f>
        <v>6807.795453272452</v>
      </c>
      <c r="C13" s="92" t="s">
        <v>158</v>
      </c>
      <c r="D13" s="239">
        <f>'1. Ermittlung Energieverbrauch'!$G$36/D10</f>
        <v>4810.7309199391175</v>
      </c>
      <c r="E13" s="92" t="s">
        <v>158</v>
      </c>
      <c r="F13" s="239">
        <f>'1. Ermittlung Energieverbrauch'!G28/F10</f>
        <v>5210.047540769733</v>
      </c>
      <c r="G13" s="92" t="s">
        <v>158</v>
      </c>
      <c r="H13" s="239">
        <f>'1. Ermittlung Energieverbrauch'!$G$36/H10</f>
        <v>3681.681826484018</v>
      </c>
      <c r="I13" s="93" t="s">
        <v>158</v>
      </c>
      <c r="J13" s="241">
        <f>'1. Ermittlung Energieverbrauch'!G28*100/J8</f>
        <v>31911.541187214618</v>
      </c>
      <c r="K13" s="92" t="s">
        <v>192</v>
      </c>
      <c r="L13" s="239">
        <f>'1. Ermittlung Energieverbrauch'!G36*100/L8</f>
        <v>21223.81288208434</v>
      </c>
      <c r="M13" s="92" t="s">
        <v>192</v>
      </c>
      <c r="N13" s="239">
        <f>'1. Ermittlung Energieverbrauch'!G28*100/N8</f>
        <v>30944.524787602055</v>
      </c>
      <c r="O13" s="92" t="s">
        <v>192</v>
      </c>
      <c r="P13" s="239">
        <f>'1. Ermittlung Energieverbrauch'!G36*100/P8</f>
        <v>20617.418228310504</v>
      </c>
      <c r="Q13" s="92" t="s">
        <v>192</v>
      </c>
      <c r="R13" s="239">
        <f>'1. Ermittlung Energieverbrauch'!G28*100/R8</f>
        <v>27749.16624975184</v>
      </c>
      <c r="S13" s="92" t="s">
        <v>192</v>
      </c>
      <c r="T13" s="239">
        <f>'1. Ermittlung Energieverbrauch'!$G$36*100/T8</f>
        <v>18598.186546156383</v>
      </c>
      <c r="U13" s="92" t="s">
        <v>192</v>
      </c>
      <c r="V13" s="239">
        <f>'1. Ermittlung Energieverbrauch'!G28*100/V8</f>
        <v>26318.796855434735</v>
      </c>
      <c r="W13" s="92" t="s">
        <v>192</v>
      </c>
      <c r="X13" s="239">
        <f>'1. Ermittlung Energieverbrauch'!$G$36*100/X8</f>
        <v>18598.186546156383</v>
      </c>
      <c r="Y13" s="92" t="s">
        <v>192</v>
      </c>
      <c r="Z13" s="239">
        <f>'1. Ermittlung Energieverbrauch'!G28</f>
        <v>25529.232949771693</v>
      </c>
      <c r="AA13" s="92" t="s">
        <v>158</v>
      </c>
      <c r="AB13" s="239">
        <f>'1. Ermittlung Energieverbrauch'!G36</f>
        <v>18040.24094977169</v>
      </c>
      <c r="AC13" s="93" t="s">
        <v>158</v>
      </c>
      <c r="AH13" s="239">
        <f>'1. Ermittlung Energieverbrauch'!$G$36/AH10</f>
        <v>5154.354557077626</v>
      </c>
      <c r="AI13" s="93" t="s">
        <v>2</v>
      </c>
      <c r="AJ13" s="239">
        <f>'1. Ermittlung Energieverbrauch'!$G$36/AJ10</f>
        <v>4008.942433282598</v>
      </c>
      <c r="AK13" s="93" t="s">
        <v>2</v>
      </c>
    </row>
    <row r="14" spans="1:37" s="77" customFormat="1" ht="12.75">
      <c r="A14" s="238" t="s">
        <v>180</v>
      </c>
      <c r="B14" s="239">
        <f>'1. Ermittlung Energieverbrauch'!$G$30/B11</f>
        <v>1018.1818181818181</v>
      </c>
      <c r="C14" s="92" t="s">
        <v>158</v>
      </c>
      <c r="D14" s="239">
        <f>'1. Ermittlung Energieverbrauch'!$G$40/D11</f>
        <v>1018.1818181818181</v>
      </c>
      <c r="E14" s="92" t="s">
        <v>158</v>
      </c>
      <c r="F14" s="239">
        <f>'1. Ermittlung Energieverbrauch'!$G$30/F11</f>
        <v>80</v>
      </c>
      <c r="G14" s="92" t="s">
        <v>158</v>
      </c>
      <c r="H14" s="239">
        <f>'1. Ermittlung Energieverbrauch'!$G$40/H11</f>
        <v>80</v>
      </c>
      <c r="I14" s="92" t="s">
        <v>158</v>
      </c>
      <c r="J14" s="350">
        <v>1000</v>
      </c>
      <c r="K14" s="92" t="s">
        <v>158</v>
      </c>
      <c r="L14" s="350">
        <v>1000</v>
      </c>
      <c r="M14" s="92" t="s">
        <v>158</v>
      </c>
      <c r="N14" s="350">
        <v>1000</v>
      </c>
      <c r="O14" s="92" t="s">
        <v>158</v>
      </c>
      <c r="P14" s="350">
        <v>1000</v>
      </c>
      <c r="Q14" s="92" t="s">
        <v>158</v>
      </c>
      <c r="R14" s="350">
        <v>1000</v>
      </c>
      <c r="S14" s="92" t="s">
        <v>158</v>
      </c>
      <c r="T14" s="350">
        <v>1000</v>
      </c>
      <c r="U14" s="92" t="s">
        <v>158</v>
      </c>
      <c r="V14" s="350">
        <v>1000</v>
      </c>
      <c r="W14" s="92" t="s">
        <v>158</v>
      </c>
      <c r="X14" s="350">
        <v>1000</v>
      </c>
      <c r="Y14" s="92" t="s">
        <v>158</v>
      </c>
      <c r="Z14" s="350">
        <v>1000</v>
      </c>
      <c r="AA14" s="92" t="s">
        <v>158</v>
      </c>
      <c r="AB14" s="350">
        <v>1000</v>
      </c>
      <c r="AC14" s="93" t="s">
        <v>158</v>
      </c>
      <c r="AH14" s="239"/>
      <c r="AI14" s="93"/>
      <c r="AJ14" s="241"/>
      <c r="AK14" s="93"/>
    </row>
    <row r="15" spans="1:37" s="77" customFormat="1" ht="12.75">
      <c r="A15" s="238"/>
      <c r="B15" s="239"/>
      <c r="C15" s="92"/>
      <c r="D15" s="239"/>
      <c r="E15" s="92"/>
      <c r="F15" s="239"/>
      <c r="G15" s="92"/>
      <c r="H15" s="239"/>
      <c r="I15" s="93"/>
      <c r="J15" s="241"/>
      <c r="K15" s="92"/>
      <c r="L15" s="239"/>
      <c r="M15" s="93"/>
      <c r="N15" s="239"/>
      <c r="O15" s="93"/>
      <c r="P15" s="239"/>
      <c r="Q15" s="93"/>
      <c r="R15" s="239"/>
      <c r="S15" s="93"/>
      <c r="T15" s="239"/>
      <c r="U15" s="93"/>
      <c r="V15" s="239"/>
      <c r="W15" s="93"/>
      <c r="X15" s="239"/>
      <c r="Y15" s="93"/>
      <c r="Z15" s="239"/>
      <c r="AA15" s="93"/>
      <c r="AB15" s="239"/>
      <c r="AC15" s="93"/>
      <c r="AH15" s="239"/>
      <c r="AI15" s="93"/>
      <c r="AJ15" s="241"/>
      <c r="AK15" s="93"/>
    </row>
    <row r="16" spans="1:37" s="78" customFormat="1" ht="12.75">
      <c r="A16" s="240" t="s">
        <v>83</v>
      </c>
      <c r="B16" s="239">
        <f>(B13+B14)*B6/100</f>
        <v>1529.9785565693098</v>
      </c>
      <c r="C16" s="92" t="s">
        <v>42</v>
      </c>
      <c r="D16" s="239">
        <f>(D13+D14)*D6/100</f>
        <v>1139.552440302643</v>
      </c>
      <c r="E16" s="93" t="s">
        <v>42</v>
      </c>
      <c r="F16" s="239">
        <f>(F13+F14)*F6/100</f>
        <v>1034.2042942204828</v>
      </c>
      <c r="G16" s="93" t="s">
        <v>42</v>
      </c>
      <c r="H16" s="239">
        <f>(H13+H14)*H6/100</f>
        <v>735.4087970776255</v>
      </c>
      <c r="I16" s="93" t="s">
        <v>42</v>
      </c>
      <c r="J16" s="241">
        <f>J13*J6/100</f>
        <v>1790.9538421395957</v>
      </c>
      <c r="K16" s="92" t="s">
        <v>42</v>
      </c>
      <c r="L16" s="239">
        <f>L13*L6/100</f>
        <v>1191.1323556271823</v>
      </c>
      <c r="M16" s="93" t="s">
        <v>42</v>
      </c>
      <c r="N16" s="239">
        <f>N13*N6/100</f>
        <v>2330.1227165064347</v>
      </c>
      <c r="O16" s="93" t="s">
        <v>42</v>
      </c>
      <c r="P16" s="239">
        <f>P13*P6/100</f>
        <v>1443.2192759817349</v>
      </c>
      <c r="Q16" s="93" t="s">
        <v>42</v>
      </c>
      <c r="R16" s="239">
        <f>R13*R6/100</f>
        <v>1803.6958062338695</v>
      </c>
      <c r="S16" s="93" t="s">
        <v>42</v>
      </c>
      <c r="T16" s="239">
        <f>T13*T6/100</f>
        <v>1115.891192769383</v>
      </c>
      <c r="U16" s="93" t="s">
        <v>42</v>
      </c>
      <c r="V16" s="239">
        <f>V13*V6/100</f>
        <v>1804.387553505741</v>
      </c>
      <c r="W16" s="93" t="s">
        <v>42</v>
      </c>
      <c r="X16" s="239">
        <f>X13*X6/100</f>
        <v>1275.07106445608</v>
      </c>
      <c r="Y16" s="93" t="s">
        <v>42</v>
      </c>
      <c r="Z16" s="239">
        <f>Z13*Z6/100</f>
        <v>5437.72661830137</v>
      </c>
      <c r="AA16" s="93" t="s">
        <v>42</v>
      </c>
      <c r="AB16" s="239">
        <f>AB13*AB6/100</f>
        <v>3842.57132230137</v>
      </c>
      <c r="AC16" s="93" t="s">
        <v>42</v>
      </c>
      <c r="AH16" s="239">
        <f>AH13*AH6/100</f>
        <v>1007.6763159086759</v>
      </c>
      <c r="AI16" s="93" t="s">
        <v>42</v>
      </c>
      <c r="AJ16" s="241">
        <f>AJ13*AJ6/100</f>
        <v>783.748245706748</v>
      </c>
      <c r="AK16" s="93" t="s">
        <v>42</v>
      </c>
    </row>
    <row r="17" spans="1:37" s="78" customFormat="1" ht="12.75">
      <c r="A17" s="240" t="s">
        <v>84</v>
      </c>
      <c r="B17" s="239">
        <f>B16+B7*12</f>
        <v>1529.9785565693098</v>
      </c>
      <c r="C17" s="92" t="s">
        <v>42</v>
      </c>
      <c r="D17" s="239">
        <f>D16+D7*12</f>
        <v>1139.552440302643</v>
      </c>
      <c r="E17" s="93" t="s">
        <v>42</v>
      </c>
      <c r="F17" s="239">
        <f>F16+F7*12</f>
        <v>1034.2042942204828</v>
      </c>
      <c r="G17" s="93" t="s">
        <v>42</v>
      </c>
      <c r="H17" s="239">
        <f>H16+H7*12</f>
        <v>735.4087970776255</v>
      </c>
      <c r="I17" s="93" t="s">
        <v>42</v>
      </c>
      <c r="J17" s="241">
        <f>J16+J7*12</f>
        <v>1790.9538421395957</v>
      </c>
      <c r="K17" s="92" t="s">
        <v>42</v>
      </c>
      <c r="L17" s="239">
        <f>L16+L7*12</f>
        <v>1191.1323556271823</v>
      </c>
      <c r="M17" s="93" t="s">
        <v>42</v>
      </c>
      <c r="N17" s="239">
        <f>N16+N7*12</f>
        <v>2330.1227165064347</v>
      </c>
      <c r="O17" s="93" t="s">
        <v>42</v>
      </c>
      <c r="P17" s="239">
        <f>P16+P7*12</f>
        <v>1443.2192759817349</v>
      </c>
      <c r="Q17" s="93" t="s">
        <v>42</v>
      </c>
      <c r="R17" s="239">
        <f>R16+R7*12</f>
        <v>2209.5358062338696</v>
      </c>
      <c r="S17" s="93" t="s">
        <v>42</v>
      </c>
      <c r="T17" s="239">
        <f>T16+T7*12</f>
        <v>1521.7311927693831</v>
      </c>
      <c r="U17" s="93" t="s">
        <v>42</v>
      </c>
      <c r="V17" s="239">
        <f>V16+V7*12</f>
        <v>1948.387553505741</v>
      </c>
      <c r="W17" s="93" t="s">
        <v>42</v>
      </c>
      <c r="X17" s="239">
        <f>X16+X7*12</f>
        <v>1419.07106445608</v>
      </c>
      <c r="Y17" s="93" t="s">
        <v>42</v>
      </c>
      <c r="Z17" s="239">
        <f>Z16+Z7*12</f>
        <v>5677.72661830137</v>
      </c>
      <c r="AA17" s="93" t="s">
        <v>42</v>
      </c>
      <c r="AB17" s="239">
        <f>AB16+AB7*12</f>
        <v>4082.57132230137</v>
      </c>
      <c r="AC17" s="93" t="s">
        <v>42</v>
      </c>
      <c r="AH17" s="239">
        <f>AH16+AH7*12</f>
        <v>1127.6763159086759</v>
      </c>
      <c r="AI17" s="93" t="s">
        <v>42</v>
      </c>
      <c r="AJ17" s="241">
        <f>AJ16+AJ7*12</f>
        <v>903.748245706748</v>
      </c>
      <c r="AK17" s="93" t="s">
        <v>42</v>
      </c>
    </row>
    <row r="18" spans="1:37" s="78" customFormat="1" ht="13.5" thickBot="1">
      <c r="A18" s="242" t="s">
        <v>85</v>
      </c>
      <c r="B18" s="243">
        <f>B16*POWER(B12/100+1,20)</f>
        <v>2273.467652036887</v>
      </c>
      <c r="C18" s="104" t="s">
        <v>42</v>
      </c>
      <c r="D18" s="243">
        <f>D16*POWER(D12/100+1,20)</f>
        <v>1693.3149812484912</v>
      </c>
      <c r="E18" s="105" t="s">
        <v>42</v>
      </c>
      <c r="F18" s="243">
        <f>F16*POWER(F12/100+1,20)</f>
        <v>1536.7731779065582</v>
      </c>
      <c r="G18" s="105" t="s">
        <v>42</v>
      </c>
      <c r="H18" s="243">
        <f>H16*POWER(H12/100+1,20)</f>
        <v>1092.7787869970716</v>
      </c>
      <c r="I18" s="105" t="s">
        <v>42</v>
      </c>
      <c r="J18" s="244">
        <f>J16*POWER(J12/100+1,20)</f>
        <v>2661.263198044761</v>
      </c>
      <c r="K18" s="104" t="s">
        <v>42</v>
      </c>
      <c r="L18" s="243">
        <f>L16*POWER(L12/100+1,20)</f>
        <v>1769.9600221097744</v>
      </c>
      <c r="M18" s="105" t="s">
        <v>42</v>
      </c>
      <c r="N18" s="243">
        <f>N16*POWER(N12/100+1,20)</f>
        <v>4636.45223181328</v>
      </c>
      <c r="O18" s="105" t="s">
        <v>42</v>
      </c>
      <c r="P18" s="243">
        <f>P16*POWER(P12/100+1,20)</f>
        <v>2871.7016428876927</v>
      </c>
      <c r="Q18" s="105" t="s">
        <v>42</v>
      </c>
      <c r="R18" s="243">
        <f>R16*POWER(R12/100+1,20)</f>
        <v>3588.973828324198</v>
      </c>
      <c r="S18" s="105" t="s">
        <v>42</v>
      </c>
      <c r="T18" s="243">
        <f>T16*POWER(T12/100+1,20)</f>
        <v>2220.387868212134</v>
      </c>
      <c r="U18" s="105" t="s">
        <v>42</v>
      </c>
      <c r="V18" s="243">
        <f>V16*POWER(V12/100+1,20)</f>
        <v>3590.350259342101</v>
      </c>
      <c r="W18" s="105" t="s">
        <v>42</v>
      </c>
      <c r="X18" s="243">
        <f>X16*POWER(X12/100+1,20)</f>
        <v>2537.1222041822457</v>
      </c>
      <c r="Y18" s="105" t="s">
        <v>42</v>
      </c>
      <c r="Z18" s="243">
        <f>Z16*POWER(Z12/100+1,20)</f>
        <v>8080.175708507103</v>
      </c>
      <c r="AA18" s="105" t="s">
        <v>42</v>
      </c>
      <c r="AB18" s="243">
        <f>AB16*POWER(AB12/100+1,20)</f>
        <v>5709.858850234822</v>
      </c>
      <c r="AC18" s="105" t="s">
        <v>42</v>
      </c>
      <c r="AH18" s="243">
        <f>AH16*POWER(AH12/100+1,20)</f>
        <v>1497.3539976135582</v>
      </c>
      <c r="AI18" s="105" t="s">
        <v>42</v>
      </c>
      <c r="AJ18" s="244">
        <f>AJ16*POWER(AJ12/100+1,20)</f>
        <v>1164.6086648105454</v>
      </c>
      <c r="AK18" s="105" t="s">
        <v>42</v>
      </c>
    </row>
    <row r="19" spans="1:37" ht="12.75">
      <c r="A19" s="79" t="s">
        <v>96</v>
      </c>
      <c r="B19" s="209" t="s">
        <v>100</v>
      </c>
      <c r="C19" s="80"/>
      <c r="D19" s="209" t="s">
        <v>100</v>
      </c>
      <c r="E19" s="82"/>
      <c r="F19" s="209" t="s">
        <v>100</v>
      </c>
      <c r="G19" s="82"/>
      <c r="H19" s="209" t="s">
        <v>100</v>
      </c>
      <c r="I19" s="82"/>
      <c r="J19" s="210" t="s">
        <v>97</v>
      </c>
      <c r="K19" s="80"/>
      <c r="L19" s="209" t="s">
        <v>97</v>
      </c>
      <c r="M19" s="82"/>
      <c r="N19" s="81" t="s">
        <v>1</v>
      </c>
      <c r="O19" s="82"/>
      <c r="P19" s="81" t="s">
        <v>1</v>
      </c>
      <c r="Q19" s="82"/>
      <c r="R19" s="81" t="s">
        <v>0</v>
      </c>
      <c r="S19" s="82"/>
      <c r="T19" s="81" t="s">
        <v>0</v>
      </c>
      <c r="U19" s="82"/>
      <c r="V19" s="81" t="s">
        <v>0</v>
      </c>
      <c r="W19" s="82"/>
      <c r="X19" s="81" t="s">
        <v>0</v>
      </c>
      <c r="Y19" s="82"/>
      <c r="Z19" s="209" t="s">
        <v>100</v>
      </c>
      <c r="AA19" s="82"/>
      <c r="AB19" s="209" t="s">
        <v>100</v>
      </c>
      <c r="AC19" s="82"/>
      <c r="AH19" s="209" t="s">
        <v>100</v>
      </c>
      <c r="AI19" s="82"/>
      <c r="AJ19" s="209" t="s">
        <v>100</v>
      </c>
      <c r="AK19" s="82"/>
    </row>
    <row r="20" spans="1:37" s="94" customFormat="1" ht="12.75">
      <c r="A20" s="91" t="s">
        <v>8</v>
      </c>
      <c r="B20" s="213">
        <v>470</v>
      </c>
      <c r="C20" s="92" t="s">
        <v>44</v>
      </c>
      <c r="D20" s="213">
        <v>470</v>
      </c>
      <c r="E20" s="93" t="s">
        <v>44</v>
      </c>
      <c r="F20" s="213">
        <v>470</v>
      </c>
      <c r="G20" s="93" t="s">
        <v>44</v>
      </c>
      <c r="H20" s="213">
        <v>470</v>
      </c>
      <c r="I20" s="93" t="s">
        <v>44</v>
      </c>
      <c r="J20" s="166">
        <v>60</v>
      </c>
      <c r="K20" s="92" t="s">
        <v>44</v>
      </c>
      <c r="L20" s="165">
        <v>60</v>
      </c>
      <c r="M20" s="93" t="s">
        <v>44</v>
      </c>
      <c r="N20" s="165">
        <v>290</v>
      </c>
      <c r="O20" s="93" t="s">
        <v>44</v>
      </c>
      <c r="P20" s="165">
        <v>290</v>
      </c>
      <c r="Q20" s="93" t="s">
        <v>44</v>
      </c>
      <c r="R20" s="165">
        <v>260</v>
      </c>
      <c r="S20" s="93" t="s">
        <v>44</v>
      </c>
      <c r="T20" s="165">
        <v>260</v>
      </c>
      <c r="U20" s="93" t="s">
        <v>44</v>
      </c>
      <c r="V20" s="165">
        <v>260</v>
      </c>
      <c r="W20" s="93" t="s">
        <v>44</v>
      </c>
      <c r="X20" s="165">
        <v>260</v>
      </c>
      <c r="Y20" s="93" t="s">
        <v>44</v>
      </c>
      <c r="Z20" s="213">
        <v>470</v>
      </c>
      <c r="AA20" s="93" t="s">
        <v>44</v>
      </c>
      <c r="AB20" s="213">
        <v>470</v>
      </c>
      <c r="AC20" s="93" t="s">
        <v>44</v>
      </c>
      <c r="AH20" s="213">
        <v>470</v>
      </c>
      <c r="AI20" s="93" t="s">
        <v>44</v>
      </c>
      <c r="AJ20" s="213">
        <v>470</v>
      </c>
      <c r="AK20" s="93" t="s">
        <v>44</v>
      </c>
    </row>
    <row r="21" spans="1:37" s="94" customFormat="1" ht="12.75">
      <c r="A21" s="91"/>
      <c r="B21" s="211" t="s">
        <v>101</v>
      </c>
      <c r="C21" s="123"/>
      <c r="D21" s="211" t="s">
        <v>101</v>
      </c>
      <c r="E21" s="212"/>
      <c r="F21" s="211" t="s">
        <v>101</v>
      </c>
      <c r="G21" s="212"/>
      <c r="H21" s="211" t="s">
        <v>101</v>
      </c>
      <c r="I21" s="212"/>
      <c r="J21" s="166"/>
      <c r="K21" s="92"/>
      <c r="L21" s="165"/>
      <c r="M21" s="93"/>
      <c r="N21" s="165"/>
      <c r="O21" s="93"/>
      <c r="P21" s="165"/>
      <c r="Q21" s="93"/>
      <c r="R21" s="165"/>
      <c r="S21" s="93"/>
      <c r="T21" s="165"/>
      <c r="U21" s="93"/>
      <c r="V21" s="165"/>
      <c r="W21" s="93"/>
      <c r="X21" s="165"/>
      <c r="Y21" s="93"/>
      <c r="Z21" s="211" t="s">
        <v>101</v>
      </c>
      <c r="AA21" s="212"/>
      <c r="AB21" s="211" t="s">
        <v>101</v>
      </c>
      <c r="AC21" s="212"/>
      <c r="AH21" s="211" t="s">
        <v>101</v>
      </c>
      <c r="AI21" s="212"/>
      <c r="AJ21" s="211" t="s">
        <v>101</v>
      </c>
      <c r="AK21" s="212"/>
    </row>
    <row r="22" spans="1:37" s="94" customFormat="1" ht="12.75">
      <c r="A22" s="91" t="s">
        <v>8</v>
      </c>
      <c r="B22" s="213">
        <v>50</v>
      </c>
      <c r="C22" s="92" t="s">
        <v>44</v>
      </c>
      <c r="D22" s="213">
        <v>50</v>
      </c>
      <c r="E22" s="93" t="s">
        <v>44</v>
      </c>
      <c r="F22" s="213">
        <v>50</v>
      </c>
      <c r="G22" s="93" t="s">
        <v>44</v>
      </c>
      <c r="H22" s="213">
        <v>50</v>
      </c>
      <c r="I22" s="93" t="s">
        <v>44</v>
      </c>
      <c r="J22" s="166"/>
      <c r="K22" s="92"/>
      <c r="L22" s="165"/>
      <c r="M22" s="93"/>
      <c r="N22" s="165"/>
      <c r="O22" s="93"/>
      <c r="P22" s="165"/>
      <c r="Q22" s="93"/>
      <c r="R22" s="165"/>
      <c r="S22" s="93"/>
      <c r="T22" s="165"/>
      <c r="U22" s="93"/>
      <c r="V22" s="165"/>
      <c r="W22" s="93"/>
      <c r="X22" s="165"/>
      <c r="Y22" s="93"/>
      <c r="Z22" s="213">
        <v>50</v>
      </c>
      <c r="AA22" s="93" t="s">
        <v>44</v>
      </c>
      <c r="AB22" s="213">
        <v>50</v>
      </c>
      <c r="AC22" s="93" t="s">
        <v>44</v>
      </c>
      <c r="AH22" s="213">
        <v>50</v>
      </c>
      <c r="AI22" s="93" t="s">
        <v>44</v>
      </c>
      <c r="AJ22" s="213">
        <v>50</v>
      </c>
      <c r="AK22" s="93" t="s">
        <v>44</v>
      </c>
    </row>
    <row r="23" spans="1:37" ht="12.75">
      <c r="A23" s="83" t="s">
        <v>34</v>
      </c>
      <c r="B23" s="86"/>
      <c r="C23" s="84"/>
      <c r="D23" s="86"/>
      <c r="E23" s="85"/>
      <c r="F23" s="86"/>
      <c r="G23" s="85"/>
      <c r="H23" s="86"/>
      <c r="I23" s="85"/>
      <c r="J23" s="307">
        <v>4.9</v>
      </c>
      <c r="K23" s="84" t="s">
        <v>49</v>
      </c>
      <c r="L23" s="16">
        <v>4.9</v>
      </c>
      <c r="M23" s="85" t="s">
        <v>49</v>
      </c>
      <c r="N23" s="16">
        <v>10</v>
      </c>
      <c r="O23" s="85" t="s">
        <v>47</v>
      </c>
      <c r="P23" s="16">
        <v>10</v>
      </c>
      <c r="Q23" s="85" t="s">
        <v>47</v>
      </c>
      <c r="R23" s="16">
        <v>11</v>
      </c>
      <c r="S23" s="85" t="s">
        <v>48</v>
      </c>
      <c r="T23" s="16">
        <v>11</v>
      </c>
      <c r="U23" s="85" t="s">
        <v>48</v>
      </c>
      <c r="V23" s="16">
        <v>12.87</v>
      </c>
      <c r="W23" s="85" t="s">
        <v>49</v>
      </c>
      <c r="X23" s="16">
        <v>12.87</v>
      </c>
      <c r="Y23" s="85" t="s">
        <v>49</v>
      </c>
      <c r="Z23" s="86"/>
      <c r="AA23" s="85"/>
      <c r="AB23" s="86"/>
      <c r="AC23" s="85"/>
      <c r="AH23" s="86"/>
      <c r="AI23" s="85"/>
      <c r="AJ23" s="86"/>
      <c r="AK23" s="85"/>
    </row>
    <row r="24" spans="1:37" ht="13.5" thickBot="1">
      <c r="A24" s="83" t="s">
        <v>30</v>
      </c>
      <c r="B24" s="214"/>
      <c r="C24" s="303"/>
      <c r="D24" s="214"/>
      <c r="E24" s="215"/>
      <c r="F24" s="214"/>
      <c r="G24" s="215"/>
      <c r="H24" s="214"/>
      <c r="I24" s="215"/>
      <c r="J24" s="307">
        <v>650</v>
      </c>
      <c r="K24" s="87" t="s">
        <v>43</v>
      </c>
      <c r="L24" s="16">
        <v>650</v>
      </c>
      <c r="M24" s="89" t="s">
        <v>43</v>
      </c>
      <c r="N24" s="88"/>
      <c r="O24" s="89"/>
      <c r="P24" s="88"/>
      <c r="Q24" s="89"/>
      <c r="R24" s="88"/>
      <c r="S24" s="89"/>
      <c r="T24" s="88"/>
      <c r="U24" s="89"/>
      <c r="V24" s="16">
        <v>0.51</v>
      </c>
      <c r="W24" s="89" t="s">
        <v>50</v>
      </c>
      <c r="X24" s="16">
        <v>0.51</v>
      </c>
      <c r="Y24" s="89" t="s">
        <v>50</v>
      </c>
      <c r="Z24" s="214"/>
      <c r="AA24" s="215"/>
      <c r="AB24" s="214"/>
      <c r="AC24" s="215"/>
      <c r="AH24" s="214"/>
      <c r="AI24" s="215"/>
      <c r="AJ24" s="214"/>
      <c r="AK24" s="215"/>
    </row>
    <row r="25" spans="1:37" s="96" customFormat="1" ht="12.75">
      <c r="A25" s="7" t="s">
        <v>26</v>
      </c>
      <c r="B25" s="33">
        <v>17500</v>
      </c>
      <c r="C25" s="97" t="s">
        <v>45</v>
      </c>
      <c r="D25" s="21">
        <v>25500</v>
      </c>
      <c r="E25" s="275" t="s">
        <v>45</v>
      </c>
      <c r="F25" s="33">
        <v>33500</v>
      </c>
      <c r="G25" s="275" t="s">
        <v>45</v>
      </c>
      <c r="H25" s="33">
        <v>41500</v>
      </c>
      <c r="I25" s="275" t="s">
        <v>45</v>
      </c>
      <c r="J25" s="308">
        <v>25000</v>
      </c>
      <c r="K25" s="95" t="s">
        <v>45</v>
      </c>
      <c r="L25" s="31">
        <v>33000</v>
      </c>
      <c r="M25" s="275" t="s">
        <v>45</v>
      </c>
      <c r="N25" s="24">
        <v>27500</v>
      </c>
      <c r="O25" s="275" t="s">
        <v>45</v>
      </c>
      <c r="P25" s="24">
        <v>27500</v>
      </c>
      <c r="Q25" s="275" t="s">
        <v>45</v>
      </c>
      <c r="R25" s="24">
        <v>25000</v>
      </c>
      <c r="S25" s="275" t="s">
        <v>45</v>
      </c>
      <c r="T25" s="24">
        <v>25000</v>
      </c>
      <c r="U25" s="275" t="s">
        <v>45</v>
      </c>
      <c r="V25" s="24">
        <v>28500</v>
      </c>
      <c r="W25" s="275" t="s">
        <v>45</v>
      </c>
      <c r="X25" s="24">
        <v>28500</v>
      </c>
      <c r="Y25" s="275" t="s">
        <v>45</v>
      </c>
      <c r="Z25" s="21">
        <v>15000</v>
      </c>
      <c r="AA25" s="275" t="s">
        <v>45</v>
      </c>
      <c r="AB25" s="21">
        <v>15000</v>
      </c>
      <c r="AC25" s="275" t="s">
        <v>45</v>
      </c>
      <c r="AH25" s="33">
        <v>23500</v>
      </c>
      <c r="AI25" s="275" t="s">
        <v>45</v>
      </c>
      <c r="AJ25" s="21">
        <v>33500</v>
      </c>
      <c r="AK25" s="275" t="s">
        <v>45</v>
      </c>
    </row>
    <row r="26" spans="1:37" s="96" customFormat="1" ht="12.75">
      <c r="A26" s="91" t="s">
        <v>81</v>
      </c>
      <c r="B26" s="31">
        <v>0</v>
      </c>
      <c r="C26" s="97" t="s">
        <v>45</v>
      </c>
      <c r="D26" s="31">
        <v>1500</v>
      </c>
      <c r="E26" s="98" t="s">
        <v>45</v>
      </c>
      <c r="F26" s="31">
        <v>4500</v>
      </c>
      <c r="G26" s="98" t="s">
        <v>45</v>
      </c>
      <c r="H26" s="31">
        <v>4500</v>
      </c>
      <c r="I26" s="98" t="s">
        <v>45</v>
      </c>
      <c r="J26" s="309">
        <v>3500</v>
      </c>
      <c r="K26" s="97" t="s">
        <v>45</v>
      </c>
      <c r="L26" s="31">
        <v>3500</v>
      </c>
      <c r="M26" s="98" t="s">
        <v>45</v>
      </c>
      <c r="N26" s="31">
        <v>0</v>
      </c>
      <c r="O26" s="98" t="s">
        <v>45</v>
      </c>
      <c r="P26" s="31">
        <v>0</v>
      </c>
      <c r="Q26" s="98" t="s">
        <v>45</v>
      </c>
      <c r="R26" s="31">
        <v>0</v>
      </c>
      <c r="S26" s="98" t="s">
        <v>45</v>
      </c>
      <c r="T26" s="31">
        <v>0</v>
      </c>
      <c r="U26" s="98" t="s">
        <v>45</v>
      </c>
      <c r="V26" s="31">
        <v>0</v>
      </c>
      <c r="W26" s="98" t="s">
        <v>45</v>
      </c>
      <c r="X26" s="31">
        <v>0</v>
      </c>
      <c r="Y26" s="98" t="s">
        <v>45</v>
      </c>
      <c r="Z26" s="31"/>
      <c r="AA26" s="98" t="s">
        <v>45</v>
      </c>
      <c r="AB26" s="31"/>
      <c r="AC26" s="98" t="s">
        <v>45</v>
      </c>
      <c r="AH26" s="31">
        <v>1500</v>
      </c>
      <c r="AI26" s="98" t="s">
        <v>45</v>
      </c>
      <c r="AJ26" s="31">
        <v>4500</v>
      </c>
      <c r="AK26" s="98" t="s">
        <v>45</v>
      </c>
    </row>
    <row r="27" spans="1:37" s="96" customFormat="1" ht="12.75">
      <c r="A27" s="91" t="s">
        <v>80</v>
      </c>
      <c r="B27" s="31">
        <v>0</v>
      </c>
      <c r="C27" s="97" t="s">
        <v>45</v>
      </c>
      <c r="D27" s="31">
        <v>2500</v>
      </c>
      <c r="E27" s="98" t="s">
        <v>45</v>
      </c>
      <c r="F27" s="31">
        <v>500</v>
      </c>
      <c r="G27" s="98" t="s">
        <v>45</v>
      </c>
      <c r="H27" s="31">
        <f>2250+500+2000</f>
        <v>4750</v>
      </c>
      <c r="I27" s="98" t="s">
        <v>45</v>
      </c>
      <c r="J27" s="309">
        <v>0</v>
      </c>
      <c r="K27" s="97" t="s">
        <v>45</v>
      </c>
      <c r="L27" s="31">
        <v>2500</v>
      </c>
      <c r="M27" s="98" t="s">
        <v>45</v>
      </c>
      <c r="N27" s="31">
        <v>0</v>
      </c>
      <c r="O27" s="98" t="s">
        <v>45</v>
      </c>
      <c r="P27" s="31">
        <v>2500</v>
      </c>
      <c r="Q27" s="98" t="s">
        <v>45</v>
      </c>
      <c r="R27" s="31">
        <v>0</v>
      </c>
      <c r="S27" s="98" t="s">
        <v>45</v>
      </c>
      <c r="T27" s="31">
        <v>2500</v>
      </c>
      <c r="U27" s="98" t="s">
        <v>45</v>
      </c>
      <c r="V27" s="31">
        <v>0</v>
      </c>
      <c r="W27" s="98" t="s">
        <v>45</v>
      </c>
      <c r="X27" s="31">
        <v>2500</v>
      </c>
      <c r="Y27" s="98" t="s">
        <v>45</v>
      </c>
      <c r="Z27" s="31"/>
      <c r="AA27" s="98" t="s">
        <v>45</v>
      </c>
      <c r="AB27" s="31"/>
      <c r="AC27" s="98" t="s">
        <v>45</v>
      </c>
      <c r="AH27" s="31">
        <v>2500</v>
      </c>
      <c r="AI27" s="98" t="s">
        <v>45</v>
      </c>
      <c r="AJ27" s="31">
        <v>2500</v>
      </c>
      <c r="AK27" s="98" t="s">
        <v>45</v>
      </c>
    </row>
    <row r="28" spans="1:37" s="100" customFormat="1" ht="12.75">
      <c r="A28" s="99" t="s">
        <v>65</v>
      </c>
      <c r="B28" s="22">
        <f>B25-B26-B27</f>
        <v>17500</v>
      </c>
      <c r="C28" s="97" t="s">
        <v>45</v>
      </c>
      <c r="D28" s="22">
        <f>D25-D26-D27</f>
        <v>21500</v>
      </c>
      <c r="E28" s="98" t="s">
        <v>45</v>
      </c>
      <c r="F28" s="22">
        <f>F25-F26-F27</f>
        <v>28500</v>
      </c>
      <c r="G28" s="98" t="s">
        <v>45</v>
      </c>
      <c r="H28" s="22">
        <f>H25-H26-H27</f>
        <v>32250</v>
      </c>
      <c r="I28" s="98" t="s">
        <v>45</v>
      </c>
      <c r="J28" s="310">
        <f>J25-J26-J27</f>
        <v>21500</v>
      </c>
      <c r="K28" s="97" t="s">
        <v>45</v>
      </c>
      <c r="L28" s="22">
        <f>L25-L26-L27</f>
        <v>27000</v>
      </c>
      <c r="M28" s="98" t="s">
        <v>45</v>
      </c>
      <c r="N28" s="22">
        <f>N25-N26-N27</f>
        <v>27500</v>
      </c>
      <c r="O28" s="98" t="s">
        <v>45</v>
      </c>
      <c r="P28" s="22">
        <f>P25-P26-P27</f>
        <v>25000</v>
      </c>
      <c r="Q28" s="98" t="s">
        <v>45</v>
      </c>
      <c r="R28" s="22">
        <f>R25-R26-R27</f>
        <v>25000</v>
      </c>
      <c r="S28" s="98" t="s">
        <v>45</v>
      </c>
      <c r="T28" s="22">
        <f>T25-T26-T27</f>
        <v>22500</v>
      </c>
      <c r="U28" s="98" t="s">
        <v>45</v>
      </c>
      <c r="V28" s="22">
        <f>V25-V26-V27</f>
        <v>28500</v>
      </c>
      <c r="W28" s="98" t="s">
        <v>45</v>
      </c>
      <c r="X28" s="22">
        <f>X25-X26-X27</f>
        <v>26000</v>
      </c>
      <c r="Y28" s="98" t="s">
        <v>45</v>
      </c>
      <c r="Z28" s="22">
        <f>Z25-Z26-Z27</f>
        <v>15000</v>
      </c>
      <c r="AA28" s="98" t="s">
        <v>45</v>
      </c>
      <c r="AB28" s="22">
        <f>AB25-AB26-AB27</f>
        <v>15000</v>
      </c>
      <c r="AC28" s="98" t="s">
        <v>45</v>
      </c>
      <c r="AH28" s="22">
        <f>AH25-AH26-AH27</f>
        <v>19500</v>
      </c>
      <c r="AI28" s="98" t="s">
        <v>45</v>
      </c>
      <c r="AJ28" s="22">
        <f>AJ25-AJ26-AJ27</f>
        <v>26500</v>
      </c>
      <c r="AK28" s="98" t="s">
        <v>45</v>
      </c>
    </row>
    <row r="29" spans="1:37" s="100" customFormat="1" ht="13.5" thickBot="1">
      <c r="A29" s="99" t="s">
        <v>92</v>
      </c>
      <c r="B29" s="216">
        <v>50</v>
      </c>
      <c r="C29" s="97" t="s">
        <v>4</v>
      </c>
      <c r="D29" s="357">
        <v>50</v>
      </c>
      <c r="E29" s="267" t="s">
        <v>4</v>
      </c>
      <c r="F29" s="226">
        <v>30</v>
      </c>
      <c r="G29" s="98" t="s">
        <v>4</v>
      </c>
      <c r="H29" s="226">
        <v>30</v>
      </c>
      <c r="I29" s="98" t="s">
        <v>4</v>
      </c>
      <c r="J29" s="311">
        <v>50</v>
      </c>
      <c r="K29" s="97" t="s">
        <v>4</v>
      </c>
      <c r="L29" s="354">
        <v>50</v>
      </c>
      <c r="M29" s="98" t="s">
        <v>4</v>
      </c>
      <c r="N29" s="354">
        <v>60</v>
      </c>
      <c r="O29" s="98" t="s">
        <v>4</v>
      </c>
      <c r="P29" s="354">
        <v>60</v>
      </c>
      <c r="Q29" s="98" t="s">
        <v>4</v>
      </c>
      <c r="R29" s="354">
        <v>70</v>
      </c>
      <c r="S29" s="98" t="s">
        <v>4</v>
      </c>
      <c r="T29" s="226">
        <v>70</v>
      </c>
      <c r="U29" s="98" t="s">
        <v>4</v>
      </c>
      <c r="V29" s="226">
        <v>70</v>
      </c>
      <c r="W29" s="98" t="s">
        <v>4</v>
      </c>
      <c r="X29" s="226">
        <v>70</v>
      </c>
      <c r="Y29" s="98" t="s">
        <v>4</v>
      </c>
      <c r="Z29" s="226">
        <v>30</v>
      </c>
      <c r="AA29" s="98" t="s">
        <v>4</v>
      </c>
      <c r="AB29" s="226">
        <v>30</v>
      </c>
      <c r="AC29" s="98" t="s">
        <v>4</v>
      </c>
      <c r="AH29" s="216">
        <v>50</v>
      </c>
      <c r="AI29" s="98" t="s">
        <v>4</v>
      </c>
      <c r="AJ29" s="216">
        <v>30</v>
      </c>
      <c r="AK29" s="98" t="s">
        <v>4</v>
      </c>
    </row>
    <row r="30" spans="1:37" s="100" customFormat="1" ht="12.75">
      <c r="A30" s="7" t="s">
        <v>66</v>
      </c>
      <c r="B30" s="208"/>
      <c r="C30" s="95"/>
      <c r="D30" s="23"/>
      <c r="E30" s="275"/>
      <c r="F30" s="208"/>
      <c r="G30" s="275"/>
      <c r="H30" s="23"/>
      <c r="I30" s="95"/>
      <c r="J30" s="356"/>
      <c r="K30" s="275"/>
      <c r="L30" s="356"/>
      <c r="M30" s="275"/>
      <c r="N30" s="23"/>
      <c r="O30" s="275"/>
      <c r="P30" s="23"/>
      <c r="Q30" s="275"/>
      <c r="R30" s="353"/>
      <c r="S30" s="275"/>
      <c r="T30" s="23"/>
      <c r="U30" s="275"/>
      <c r="V30" s="23"/>
      <c r="W30" s="275"/>
      <c r="X30" s="23"/>
      <c r="Y30" s="351"/>
      <c r="Z30" s="23"/>
      <c r="AA30" s="275"/>
      <c r="AB30" s="23"/>
      <c r="AC30" s="275"/>
      <c r="AH30" s="23"/>
      <c r="AI30" s="275"/>
      <c r="AJ30" s="23"/>
      <c r="AK30" s="275"/>
    </row>
    <row r="31" spans="1:37" s="78" customFormat="1" ht="12.75">
      <c r="A31" s="6" t="s">
        <v>29</v>
      </c>
      <c r="B31" s="20">
        <v>250</v>
      </c>
      <c r="C31" s="97" t="s">
        <v>42</v>
      </c>
      <c r="D31" s="20">
        <v>350</v>
      </c>
      <c r="E31" s="98" t="s">
        <v>42</v>
      </c>
      <c r="F31" s="20">
        <v>250</v>
      </c>
      <c r="G31" s="98" t="s">
        <v>42</v>
      </c>
      <c r="H31" s="20">
        <v>350</v>
      </c>
      <c r="I31" s="97" t="s">
        <v>42</v>
      </c>
      <c r="J31" s="20">
        <v>450</v>
      </c>
      <c r="K31" s="98" t="s">
        <v>42</v>
      </c>
      <c r="L31" s="20">
        <v>550</v>
      </c>
      <c r="M31" s="98" t="s">
        <v>42</v>
      </c>
      <c r="N31" s="20">
        <v>350</v>
      </c>
      <c r="O31" s="98" t="s">
        <v>42</v>
      </c>
      <c r="P31" s="20">
        <v>450</v>
      </c>
      <c r="Q31" s="98" t="s">
        <v>42</v>
      </c>
      <c r="R31" s="217">
        <v>350</v>
      </c>
      <c r="S31" s="98" t="s">
        <v>42</v>
      </c>
      <c r="T31" s="20">
        <v>450</v>
      </c>
      <c r="U31" s="98" t="s">
        <v>42</v>
      </c>
      <c r="V31" s="20">
        <v>400</v>
      </c>
      <c r="W31" s="98" t="s">
        <v>42</v>
      </c>
      <c r="X31" s="20">
        <v>500</v>
      </c>
      <c r="Y31" s="98" t="s">
        <v>42</v>
      </c>
      <c r="Z31" s="20">
        <v>100</v>
      </c>
      <c r="AA31" s="98" t="s">
        <v>42</v>
      </c>
      <c r="AB31" s="20">
        <v>100</v>
      </c>
      <c r="AC31" s="98" t="s">
        <v>42</v>
      </c>
      <c r="AH31" s="20">
        <v>400</v>
      </c>
      <c r="AI31" s="98" t="s">
        <v>42</v>
      </c>
      <c r="AJ31" s="20">
        <v>450</v>
      </c>
      <c r="AK31" s="98" t="s">
        <v>42</v>
      </c>
    </row>
    <row r="32" spans="1:37" s="78" customFormat="1" ht="12.75">
      <c r="A32" s="6" t="s">
        <v>181</v>
      </c>
      <c r="B32" s="20"/>
      <c r="C32" s="97"/>
      <c r="D32" s="20"/>
      <c r="E32" s="98"/>
      <c r="F32" s="20"/>
      <c r="G32" s="98"/>
      <c r="H32" s="207"/>
      <c r="I32" s="97"/>
      <c r="J32" s="355">
        <f>(J9+J14)*'1. Ermittlung Energieverbrauch'!$E$45/100</f>
        <v>532</v>
      </c>
      <c r="K32" s="98" t="s">
        <v>42</v>
      </c>
      <c r="L32" s="355">
        <f>(L9+L14)*'1. Ermittlung Energieverbrauch'!$E$45/100</f>
        <v>392</v>
      </c>
      <c r="M32" s="98" t="s">
        <v>42</v>
      </c>
      <c r="N32" s="355">
        <f>(N9+N14)*'1. Ermittlung Energieverbrauch'!$E$45/100</f>
        <v>336</v>
      </c>
      <c r="O32" s="98" t="s">
        <v>42</v>
      </c>
      <c r="P32" s="355">
        <f>(P9+P14)*'1. Ermittlung Energieverbrauch'!$E$45/100</f>
        <v>336</v>
      </c>
      <c r="Q32" s="98" t="s">
        <v>42</v>
      </c>
      <c r="R32" s="352">
        <f>(R9+R14)*'1. Ermittlung Energieverbrauch'!$E$45/100</f>
        <v>336</v>
      </c>
      <c r="S32" s="98" t="s">
        <v>42</v>
      </c>
      <c r="T32" s="355">
        <f>(T9+T14)*'1. Ermittlung Energieverbrauch'!$E$45/100</f>
        <v>336</v>
      </c>
      <c r="U32" s="98" t="s">
        <v>42</v>
      </c>
      <c r="V32" s="355">
        <f>(V9+V14)*'1. Ermittlung Energieverbrauch'!$E$45/100</f>
        <v>336</v>
      </c>
      <c r="W32" s="98" t="s">
        <v>42</v>
      </c>
      <c r="X32" s="355">
        <f>(X9+X14)*'1. Ermittlung Energieverbrauch'!$E$45/100</f>
        <v>336</v>
      </c>
      <c r="Y32" s="98" t="s">
        <v>42</v>
      </c>
      <c r="Z32" s="355">
        <f>(Z9+Z14)*'1. Ermittlung Energieverbrauch'!$E$45/100</f>
        <v>280</v>
      </c>
      <c r="AA32" s="98" t="s">
        <v>42</v>
      </c>
      <c r="AB32" s="355">
        <f>(AB9+AB14)*'1. Ermittlung Energieverbrauch'!$E$45/100</f>
        <v>280</v>
      </c>
      <c r="AC32" s="98" t="s">
        <v>42</v>
      </c>
      <c r="AH32" s="20"/>
      <c r="AI32" s="98"/>
      <c r="AJ32" s="207"/>
      <c r="AK32" s="98"/>
    </row>
    <row r="33" spans="1:37" s="78" customFormat="1" ht="12.75">
      <c r="A33" s="6" t="s">
        <v>91</v>
      </c>
      <c r="B33" s="226">
        <v>200</v>
      </c>
      <c r="C33" s="97" t="s">
        <v>42</v>
      </c>
      <c r="D33" s="226">
        <v>200</v>
      </c>
      <c r="E33" s="97" t="s">
        <v>42</v>
      </c>
      <c r="F33" s="226">
        <v>200</v>
      </c>
      <c r="G33" s="98" t="s">
        <v>42</v>
      </c>
      <c r="H33" s="226">
        <v>200</v>
      </c>
      <c r="I33" s="97" t="s">
        <v>42</v>
      </c>
      <c r="J33" s="226">
        <v>200</v>
      </c>
      <c r="K33" s="98" t="s">
        <v>42</v>
      </c>
      <c r="L33" s="226">
        <v>200</v>
      </c>
      <c r="M33" s="98" t="s">
        <v>42</v>
      </c>
      <c r="N33" s="226">
        <v>200</v>
      </c>
      <c r="O33" s="98" t="s">
        <v>42</v>
      </c>
      <c r="P33" s="226">
        <v>200</v>
      </c>
      <c r="Q33" s="98" t="s">
        <v>42</v>
      </c>
      <c r="R33" s="311">
        <v>200</v>
      </c>
      <c r="S33" s="97" t="s">
        <v>42</v>
      </c>
      <c r="T33" s="226">
        <v>200</v>
      </c>
      <c r="U33" s="97" t="s">
        <v>42</v>
      </c>
      <c r="V33" s="226">
        <v>200</v>
      </c>
      <c r="W33" s="97" t="s">
        <v>42</v>
      </c>
      <c r="X33" s="226">
        <v>200</v>
      </c>
      <c r="Y33" s="97" t="s">
        <v>42</v>
      </c>
      <c r="Z33" s="226">
        <v>200</v>
      </c>
      <c r="AA33" s="97" t="s">
        <v>42</v>
      </c>
      <c r="AB33" s="226">
        <v>200</v>
      </c>
      <c r="AC33" s="98"/>
      <c r="AH33" s="226">
        <v>200</v>
      </c>
      <c r="AI33" s="98"/>
      <c r="AJ33" s="226">
        <v>200</v>
      </c>
      <c r="AK33" s="98"/>
    </row>
    <row r="34" spans="1:37" s="76" customFormat="1" ht="33.75">
      <c r="A34" s="8" t="s">
        <v>102</v>
      </c>
      <c r="B34" s="25">
        <v>1.5</v>
      </c>
      <c r="C34" s="284" t="s">
        <v>41</v>
      </c>
      <c r="D34" s="18">
        <f>$L34</f>
        <v>1.5</v>
      </c>
      <c r="E34" s="276" t="s">
        <v>41</v>
      </c>
      <c r="F34" s="18">
        <f>$B34</f>
        <v>1.5</v>
      </c>
      <c r="G34" s="276" t="s">
        <v>41</v>
      </c>
      <c r="H34" s="18">
        <f>$B34</f>
        <v>1.5</v>
      </c>
      <c r="I34" s="284" t="s">
        <v>41</v>
      </c>
      <c r="J34" s="18">
        <f>$B34</f>
        <v>1.5</v>
      </c>
      <c r="K34" s="274" t="s">
        <v>41</v>
      </c>
      <c r="L34" s="18">
        <f>$B34</f>
        <v>1.5</v>
      </c>
      <c r="M34" s="274" t="s">
        <v>41</v>
      </c>
      <c r="N34" s="18">
        <f>$B34</f>
        <v>1.5</v>
      </c>
      <c r="O34" s="276" t="s">
        <v>41</v>
      </c>
      <c r="P34" s="18">
        <f>$B34</f>
        <v>1.5</v>
      </c>
      <c r="Q34" s="276" t="s">
        <v>41</v>
      </c>
      <c r="R34" s="312">
        <f>$B34</f>
        <v>1.5</v>
      </c>
      <c r="S34" s="276" t="s">
        <v>41</v>
      </c>
      <c r="T34" s="18">
        <f>$B34</f>
        <v>1.5</v>
      </c>
      <c r="U34" s="276" t="s">
        <v>41</v>
      </c>
      <c r="V34" s="18">
        <f>$B34</f>
        <v>1.5</v>
      </c>
      <c r="W34" s="276" t="s">
        <v>41</v>
      </c>
      <c r="X34" s="18">
        <f>$B34</f>
        <v>1.5</v>
      </c>
      <c r="Y34" s="276" t="s">
        <v>41</v>
      </c>
      <c r="Z34" s="18">
        <f>$L34</f>
        <v>1.5</v>
      </c>
      <c r="AA34" s="276" t="s">
        <v>41</v>
      </c>
      <c r="AB34" s="18">
        <f>$L34</f>
        <v>1.5</v>
      </c>
      <c r="AC34" s="276" t="s">
        <v>41</v>
      </c>
      <c r="AH34" s="18">
        <f>$L34</f>
        <v>1.5</v>
      </c>
      <c r="AI34" s="276" t="s">
        <v>41</v>
      </c>
      <c r="AJ34" s="18">
        <f>$B34</f>
        <v>1.5</v>
      </c>
      <c r="AK34" s="276" t="s">
        <v>41</v>
      </c>
    </row>
    <row r="35" spans="1:37" s="76" customFormat="1" ht="13.5" thickBot="1">
      <c r="A35" s="9" t="s">
        <v>7</v>
      </c>
      <c r="B35" s="32">
        <v>1</v>
      </c>
      <c r="C35" s="285" t="s">
        <v>41</v>
      </c>
      <c r="D35" s="19">
        <f>$L35</f>
        <v>1</v>
      </c>
      <c r="E35" s="277" t="s">
        <v>41</v>
      </c>
      <c r="F35" s="19">
        <f>$B35</f>
        <v>1</v>
      </c>
      <c r="G35" s="277" t="s">
        <v>41</v>
      </c>
      <c r="H35" s="19">
        <f>$B35</f>
        <v>1</v>
      </c>
      <c r="I35" s="285" t="s">
        <v>41</v>
      </c>
      <c r="J35" s="19">
        <f>$B35</f>
        <v>1</v>
      </c>
      <c r="K35" s="283" t="s">
        <v>41</v>
      </c>
      <c r="L35" s="19">
        <f>$B35</f>
        <v>1</v>
      </c>
      <c r="M35" s="283" t="s">
        <v>41</v>
      </c>
      <c r="N35" s="19">
        <f>$B35</f>
        <v>1</v>
      </c>
      <c r="O35" s="277" t="s">
        <v>41</v>
      </c>
      <c r="P35" s="19">
        <f>$B35</f>
        <v>1</v>
      </c>
      <c r="Q35" s="277" t="s">
        <v>41</v>
      </c>
      <c r="R35" s="313">
        <f>$B35</f>
        <v>1</v>
      </c>
      <c r="S35" s="277" t="s">
        <v>41</v>
      </c>
      <c r="T35" s="19">
        <f>$B35</f>
        <v>1</v>
      </c>
      <c r="U35" s="277" t="s">
        <v>41</v>
      </c>
      <c r="V35" s="19">
        <f>$B35</f>
        <v>1</v>
      </c>
      <c r="W35" s="277" t="s">
        <v>41</v>
      </c>
      <c r="X35" s="19">
        <f>$B35</f>
        <v>1</v>
      </c>
      <c r="Y35" s="277" t="s">
        <v>41</v>
      </c>
      <c r="Z35" s="19">
        <f>$L35</f>
        <v>1</v>
      </c>
      <c r="AA35" s="277" t="s">
        <v>41</v>
      </c>
      <c r="AB35" s="19">
        <f>$L35</f>
        <v>1</v>
      </c>
      <c r="AC35" s="277" t="s">
        <v>41</v>
      </c>
      <c r="AH35" s="19">
        <f>$L35</f>
        <v>1</v>
      </c>
      <c r="AI35" s="277" t="s">
        <v>41</v>
      </c>
      <c r="AJ35" s="19">
        <f>$B35</f>
        <v>1</v>
      </c>
      <c r="AK35" s="277" t="s">
        <v>41</v>
      </c>
    </row>
    <row r="36" spans="1:37" s="39" customFormat="1" ht="12.75">
      <c r="A36" s="250" t="s">
        <v>67</v>
      </c>
      <c r="B36" s="86"/>
      <c r="C36" s="101"/>
      <c r="D36" s="86"/>
      <c r="E36" s="102"/>
      <c r="F36" s="86"/>
      <c r="G36" s="102"/>
      <c r="H36" s="86"/>
      <c r="I36" s="102"/>
      <c r="J36" s="314"/>
      <c r="K36" s="320"/>
      <c r="L36" s="218"/>
      <c r="M36" s="219"/>
      <c r="N36" s="86"/>
      <c r="O36" s="102"/>
      <c r="P36" s="86"/>
      <c r="Q36" s="102"/>
      <c r="R36" s="86"/>
      <c r="S36" s="102"/>
      <c r="T36" s="86"/>
      <c r="U36" s="102"/>
      <c r="V36" s="86"/>
      <c r="W36" s="102"/>
      <c r="X36" s="86"/>
      <c r="Y36" s="102"/>
      <c r="Z36" s="86"/>
      <c r="AA36" s="102"/>
      <c r="AB36" s="86"/>
      <c r="AC36" s="102"/>
      <c r="AH36" s="86"/>
      <c r="AI36" s="102"/>
      <c r="AJ36" s="86"/>
      <c r="AK36" s="102"/>
    </row>
    <row r="37" spans="1:37" s="39" customFormat="1" ht="12.75">
      <c r="A37" s="251" t="s">
        <v>32</v>
      </c>
      <c r="B37" s="86"/>
      <c r="C37" s="101"/>
      <c r="D37" s="86"/>
      <c r="E37" s="102"/>
      <c r="F37" s="86"/>
      <c r="G37" s="102"/>
      <c r="H37" s="86"/>
      <c r="I37" s="102"/>
      <c r="J37" s="90"/>
      <c r="K37" s="101"/>
      <c r="L37" s="86"/>
      <c r="M37" s="102"/>
      <c r="N37" s="86"/>
      <c r="O37" s="102"/>
      <c r="P37" s="86"/>
      <c r="Q37" s="102"/>
      <c r="R37" s="86"/>
      <c r="S37" s="102"/>
      <c r="T37" s="86"/>
      <c r="U37" s="102"/>
      <c r="V37" s="86"/>
      <c r="W37" s="102"/>
      <c r="X37" s="86"/>
      <c r="Y37" s="102"/>
      <c r="Z37" s="86"/>
      <c r="AA37" s="102"/>
      <c r="AB37" s="86"/>
      <c r="AC37" s="102"/>
      <c r="AH37" s="86"/>
      <c r="AI37" s="102"/>
      <c r="AJ37" s="86"/>
      <c r="AK37" s="102"/>
    </row>
    <row r="38" spans="1:37" s="103" customFormat="1" ht="12.75">
      <c r="A38" s="252">
        <v>1</v>
      </c>
      <c r="B38" s="253">
        <f aca="true" t="shared" si="0" ref="B38:B57">B$28+IF(B$34=B$35,(B$7*12+B$31+B$32)*$A38,((B$7+B$31+B$32)/((B$35-B$34)/100)*(1-EXP(-((B$35-B$34)/100)*$A38))))+IF(B$12=B$35,B$16*$A38,(B$16/((B$35-B$12)/100)*(1-EXP(-((B$35-B$12)/100)*$A38))))</f>
        <v>19288.280055841617</v>
      </c>
      <c r="C38" s="92" t="s">
        <v>45</v>
      </c>
      <c r="D38" s="253">
        <f aca="true" t="shared" si="1" ref="D38:D57">D$28+IF(D$34=D$35,(D$7*12+D$31+D$32)*$A38,((D$7+D$31+D$32)/((D$35-D$34)/100)*(1-EXP(-((D$35-D$34)/100)*$A38))))+IF(D$12=D$35,D$16*$A38,(D$16/((D$35-D$12)/100)*(1-EXP(-((D$35-D$12)/100)*$A38))))</f>
        <v>22996.145702779355</v>
      </c>
      <c r="E38" s="93" t="s">
        <v>45</v>
      </c>
      <c r="F38" s="253">
        <f aca="true" t="shared" si="2" ref="F38:F57">F$28+IF(F$34=F$35,(F$7*12+F$31+F$32)*$A38,((F$7+F$31+F$32)/((F$35-F$34)/100)*(1-EXP(-((F$35-F$34)/100)*$A38))))+IF(F$12=F$35,F$16*$A38,(F$16/((F$35-F$12)/100)*(1-EXP(-((F$35-F$12)/100)*$A38))))</f>
        <v>29790.018638578033</v>
      </c>
      <c r="G38" s="93" t="s">
        <v>45</v>
      </c>
      <c r="H38" s="253">
        <f aca="true" t="shared" si="3" ref="H38:H57">H$28+IF(H$34=H$35,(H$7*12+H$31+H$32)*$A38,((H$7+H$31+H$32)/((H$35-H$34)/100)*(1-EXP(-((H$35-H$34)/100)*$A38))))+IF(H$12=H$35,H$16*$A38,(H$16/((H$35-H$12)/100)*(1-EXP(-((H$35-H$12)/100)*$A38))))</f>
        <v>33339.97458873778</v>
      </c>
      <c r="I38" s="93" t="s">
        <v>45</v>
      </c>
      <c r="J38" s="315">
        <f aca="true" t="shared" si="4" ref="J38:J57">J$28+IF(J$34=J$35,(J$7*12+J$31+J$32)*$A38,((J$7+J$31+J$32)/((J$35-J$34)/100)*(1-EXP(-((J$35-J$34)/100)*$A38))))+IF(J$12=J$35,J$16*$A38,(J$16/((J$35-J$12)/100)*(1-EXP(-((J$35-J$12)/100)*$A38))))</f>
        <v>24284.397632139895</v>
      </c>
      <c r="K38" s="92" t="s">
        <v>45</v>
      </c>
      <c r="L38" s="253">
        <f aca="true" t="shared" si="5" ref="L38:L57">L$28+IF(L$34=L$35,(L$7*12+L$31+L$32)*$A38,((L$7+L$31+L$32)/((L$35-L$34)/100)*(1-EXP(-((L$35-L$34)/100)*$A38))))+IF(L$12=L$35,L$16*$A38,(L$16/((L$35-L$12)/100)*(1-EXP(-((L$35-L$12)/100)*$A38))))</f>
        <v>29141.466849252316</v>
      </c>
      <c r="M38" s="93" t="s">
        <v>45</v>
      </c>
      <c r="N38" s="253">
        <f aca="true" t="shared" si="6" ref="N38:N57">N$28+IF(N$34=N$35,(N$7*12+N$31+N$32)*$A38,((N$7+N$31+N$32)/((N$35-N$34)/100)*(1-EXP(-((N$35-N$34)/100)*$A38))))+IF(N$12=N$35,N$16*$A38,(N$16/((N$35-N$12)/100)*(1-EXP(-((N$35-N$12)/100)*$A38))))</f>
        <v>30547.21135811261</v>
      </c>
      <c r="O38" s="93" t="s">
        <v>45</v>
      </c>
      <c r="P38" s="253">
        <f aca="true" t="shared" si="7" ref="P38:P57">P$28+IF(P$34=P$35,(P$7*12+P$31+P$32)*$A38,((P$7+P$31+P$32)/((P$35-P$34)/100)*(1-EXP(-((P$35-P$34)/100)*$A38))))+IF(P$12=P$35,P$16*$A38,(P$16/((P$35-P$12)/100)*(1-EXP(-((P$35-P$12)/100)*$A38))))</f>
        <v>27249.379075684094</v>
      </c>
      <c r="Q38" s="93" t="s">
        <v>45</v>
      </c>
      <c r="R38" s="253">
        <f aca="true" t="shared" si="8" ref="R38:R57">R$28+IF(R$34=R$35,(R$7*12+R$31+R$32)*$A38,((R$7+R$31+R$32)/((R$35-R$34)/100)*(1-EXP(-((R$35-R$34)/100)*$A38))))+IF(R$12=R$35,R$16*$A38,(R$16/((R$35-R$12)/100)*(1-EXP(-((R$35-R$12)/100)*$A38))))</f>
        <v>27548.05362197149</v>
      </c>
      <c r="S38" s="93" t="s">
        <v>45</v>
      </c>
      <c r="T38" s="253">
        <f aca="true" t="shared" si="9" ref="T38:T57">T$28+IF(T$34=T$35,(T$7*12+T$31+T$32)*$A38,((T$7+T$31+T$32)/((T$35-T$34)/100)*(1-EXP(-((T$35-T$34)/100)*$A38))))+IF(T$12=T$35,T$16*$A38,(T$16/((T$35-T$12)/100)*(1-EXP(-((T$35-T$12)/100)*$A38))))</f>
        <v>24451.829771675042</v>
      </c>
      <c r="U38" s="93" t="s">
        <v>45</v>
      </c>
      <c r="V38" s="253">
        <f aca="true" t="shared" si="10" ref="V38:V57">V$28+IF(V$34=V$35,(V$7*12+V$31+V$32)*$A38,((V$7+V$31+V$32)/((V$35-V$34)/100)*(1-EXP(-((V$35-V$34)/100)*$A38))))+IF(V$12=V$35,V$16*$A38,(V$16/((V$35-V$12)/100)*(1-EXP(-((V$35-V$12)/100)*$A38))))</f>
        <v>31077.004656157467</v>
      </c>
      <c r="W38" s="93" t="s">
        <v>45</v>
      </c>
      <c r="X38" s="253">
        <f aca="true" t="shared" si="11" ref="X38:X57">X$28+IF(X$34=X$35,(X$7*12+X$31+X$32)*$A38,((X$7+X$31+X$32)/((X$35-X$34)/100)*(1-EXP(-((X$35-X$34)/100)*$A38))))+IF(X$12=X$35,X$16*$A38,(X$16/((X$35-X$12)/100)*(1-EXP(-((X$35-X$12)/100)*$A38))))</f>
        <v>28141.2666447111</v>
      </c>
      <c r="Y38" s="93" t="s">
        <v>45</v>
      </c>
      <c r="Z38" s="253">
        <f aca="true" t="shared" si="12" ref="Z38:Z57">Z$28+IF(Z$34=Z$35,(Z$7*12+Z$31+Z$32)*$A38,((Z$7+Z$31+Z$32)/((Z$35-Z$34)/100)*(1-EXP(-((Z$35-Z$34)/100)*$A38))))+IF(Z$12=Z$35,Z$16*$A38,(Z$16/((Z$35-Z$12)/100)*(1-EXP(-((Z$35-Z$12)/100)*$A38))))</f>
        <v>20866.00777594771</v>
      </c>
      <c r="AA38" s="93" t="s">
        <v>45</v>
      </c>
      <c r="AB38" s="253">
        <f aca="true" t="shared" si="13" ref="AB38:AB57">AB$28+IF(AB$34=AB$35,(AB$7*12+AB$31+AB$32)*$A38,((AB$7+AB$31+AB$32)/((AB$35-AB$34)/100)*(1-EXP(-((AB$35-AB$34)/100)*$A38))))+IF(AB$12=AB$35,AB$16*$A38,(AB$16/((AB$35-AB$12)/100)*(1-EXP(-((AB$35-AB$12)/100)*$A38))))</f>
        <v>19262.85005094817</v>
      </c>
      <c r="AC38" s="93" t="s">
        <v>45</v>
      </c>
      <c r="AH38" s="253">
        <f aca="true" t="shared" si="14" ref="AH38:AH57">AH$28+IF(AH$34=AH$35,(AH$7*12+AH$31+AH$32)*$A38,((AH$7+AH$31+AH$32)/((AH$35-AH$34)/100)*(1-EXP(-((AH$35-AH$34)/100)*$A38))))+IF(AH$12=AH$35,AH$16*$A38,(AH$16/((AH$35-AH$12)/100)*(1-EXP(-((AH$35-AH$12)/100)*$A38))))</f>
        <v>20923.75824463498</v>
      </c>
      <c r="AI38" s="93" t="s">
        <v>45</v>
      </c>
      <c r="AJ38" s="253">
        <f aca="true" t="shared" si="15" ref="AJ38:AJ57">AJ$28+IF(AJ$34=AJ$35,(AJ$7*12+AJ$31+AJ$32)*$A38,((AJ$7+AJ$31+AJ$32)/((AJ$35-AJ$34)/100)*(1-EXP(-((AJ$35-AJ$34)/100)*$A38))))+IF(AJ$12=AJ$35,AJ$16*$A38,(AJ$16/((AJ$35-AJ$12)/100)*(1-EXP(-((AJ$35-AJ$12)/100)*$A38))))</f>
        <v>27748.83200119252</v>
      </c>
      <c r="AK38" s="93" t="s">
        <v>45</v>
      </c>
    </row>
    <row r="39" spans="1:37" s="103" customFormat="1" ht="12.75" hidden="1">
      <c r="A39" s="252">
        <v>2</v>
      </c>
      <c r="B39" s="253">
        <f t="shared" si="0"/>
        <v>21093.27005969856</v>
      </c>
      <c r="C39" s="92" t="s">
        <v>45</v>
      </c>
      <c r="D39" s="253">
        <f t="shared" si="1"/>
        <v>24505.56032837906</v>
      </c>
      <c r="E39" s="93" t="s">
        <v>45</v>
      </c>
      <c r="F39" s="253">
        <f t="shared" si="2"/>
        <v>31091.73961467629</v>
      </c>
      <c r="G39" s="93" t="s">
        <v>45</v>
      </c>
      <c r="H39" s="253">
        <f t="shared" si="3"/>
        <v>34439.13601273501</v>
      </c>
      <c r="I39" s="93" t="s">
        <v>45</v>
      </c>
      <c r="J39" s="315">
        <f t="shared" si="4"/>
        <v>27091.81956905925</v>
      </c>
      <c r="K39" s="92" t="s">
        <v>45</v>
      </c>
      <c r="L39" s="253">
        <f t="shared" si="5"/>
        <v>31299.69845194677</v>
      </c>
      <c r="M39" s="93" t="s">
        <v>45</v>
      </c>
      <c r="N39" s="253">
        <f t="shared" si="6"/>
        <v>33657.60077858643</v>
      </c>
      <c r="O39" s="93" t="s">
        <v>45</v>
      </c>
      <c r="P39" s="253">
        <f t="shared" si="7"/>
        <v>29539.70364925501</v>
      </c>
      <c r="Q39" s="93" t="s">
        <v>45</v>
      </c>
      <c r="R39" s="253">
        <f t="shared" si="8"/>
        <v>30145.960714683046</v>
      </c>
      <c r="S39" s="93" t="s">
        <v>45</v>
      </c>
      <c r="T39" s="253">
        <f t="shared" si="9"/>
        <v>26436.384191373934</v>
      </c>
      <c r="U39" s="93" t="s">
        <v>45</v>
      </c>
      <c r="V39" s="253">
        <f t="shared" si="10"/>
        <v>33704.02212201117</v>
      </c>
      <c r="W39" s="93" t="s">
        <v>45</v>
      </c>
      <c r="X39" s="253">
        <f t="shared" si="11"/>
        <v>30319.479994755176</v>
      </c>
      <c r="Y39" s="93" t="s">
        <v>45</v>
      </c>
      <c r="Z39" s="253">
        <f t="shared" si="12"/>
        <v>26788.94980561812</v>
      </c>
      <c r="AA39" s="93" t="s">
        <v>45</v>
      </c>
      <c r="AB39" s="253">
        <f t="shared" si="13"/>
        <v>23566.52235262049</v>
      </c>
      <c r="AC39" s="93" t="s">
        <v>45</v>
      </c>
      <c r="AH39" s="253">
        <f t="shared" si="14"/>
        <v>22359.754890359745</v>
      </c>
      <c r="AI39" s="93" t="s">
        <v>45</v>
      </c>
      <c r="AJ39" s="253">
        <f t="shared" si="15"/>
        <v>29007.891852432986</v>
      </c>
      <c r="AK39" s="93" t="s">
        <v>45</v>
      </c>
    </row>
    <row r="40" spans="1:37" s="103" customFormat="1" ht="12.75" hidden="1">
      <c r="A40" s="252">
        <v>3</v>
      </c>
      <c r="B40" s="253">
        <f t="shared" si="0"/>
        <v>22915.131620705233</v>
      </c>
      <c r="C40" s="92" t="s">
        <v>45</v>
      </c>
      <c r="D40" s="253">
        <f t="shared" si="1"/>
        <v>26028.368371601315</v>
      </c>
      <c r="E40" s="93" t="s">
        <v>45</v>
      </c>
      <c r="F40" s="253">
        <f t="shared" si="2"/>
        <v>32405.274210107018</v>
      </c>
      <c r="G40" s="93" t="s">
        <v>45</v>
      </c>
      <c r="H40" s="253">
        <f t="shared" si="3"/>
        <v>35547.56774113189</v>
      </c>
      <c r="I40" s="93" t="s">
        <v>45</v>
      </c>
      <c r="J40" s="315">
        <f t="shared" si="4"/>
        <v>29922.47234998939</v>
      </c>
      <c r="K40" s="92" t="s">
        <v>45</v>
      </c>
      <c r="L40" s="253">
        <f t="shared" si="5"/>
        <v>33474.83945035951</v>
      </c>
      <c r="M40" s="93" t="s">
        <v>45</v>
      </c>
      <c r="N40" s="253">
        <f t="shared" si="6"/>
        <v>36832.69763456042</v>
      </c>
      <c r="O40" s="93" t="s">
        <v>45</v>
      </c>
      <c r="P40" s="253">
        <f t="shared" si="7"/>
        <v>31871.930071597817</v>
      </c>
      <c r="Q40" s="93" t="s">
        <v>45</v>
      </c>
      <c r="R40" s="253">
        <f t="shared" si="8"/>
        <v>32794.909887245194</v>
      </c>
      <c r="S40" s="93" t="s">
        <v>45</v>
      </c>
      <c r="T40" s="253">
        <f t="shared" si="9"/>
        <v>28454.40804779102</v>
      </c>
      <c r="U40" s="93" t="s">
        <v>45</v>
      </c>
      <c r="V40" s="253">
        <f t="shared" si="10"/>
        <v>36382.24216537524</v>
      </c>
      <c r="W40" s="93" t="s">
        <v>45</v>
      </c>
      <c r="X40" s="253">
        <f t="shared" si="11"/>
        <v>32535.488845734933</v>
      </c>
      <c r="Y40" s="93" t="s">
        <v>45</v>
      </c>
      <c r="Z40" s="253">
        <f t="shared" si="12"/>
        <v>32769.38816195771</v>
      </c>
      <c r="AA40" s="93" t="s">
        <v>45</v>
      </c>
      <c r="AB40" s="253">
        <f t="shared" si="13"/>
        <v>27911.41704964127</v>
      </c>
      <c r="AC40" s="93" t="s">
        <v>45</v>
      </c>
      <c r="AH40" s="253">
        <f t="shared" si="14"/>
        <v>23808.102556188514</v>
      </c>
      <c r="AI40" s="93" t="s">
        <v>45</v>
      </c>
      <c r="AJ40" s="253">
        <f t="shared" si="15"/>
        <v>30277.27070063469</v>
      </c>
      <c r="AK40" s="93" t="s">
        <v>45</v>
      </c>
    </row>
    <row r="41" spans="1:37" s="103" customFormat="1" ht="12.75" hidden="1">
      <c r="A41" s="252">
        <v>4</v>
      </c>
      <c r="B41" s="253">
        <f t="shared" si="0"/>
        <v>24754.027940472406</v>
      </c>
      <c r="C41" s="92" t="s">
        <v>45</v>
      </c>
      <c r="D41" s="253">
        <f t="shared" si="1"/>
        <v>27564.695534030514</v>
      </c>
      <c r="E41" s="93" t="s">
        <v>45</v>
      </c>
      <c r="F41" s="253">
        <f t="shared" si="2"/>
        <v>33730.734793360825</v>
      </c>
      <c r="G41" s="93" t="s">
        <v>45</v>
      </c>
      <c r="H41" s="253">
        <f t="shared" si="3"/>
        <v>36665.35403753599</v>
      </c>
      <c r="I41" s="93" t="s">
        <v>45</v>
      </c>
      <c r="J41" s="315">
        <f t="shared" si="4"/>
        <v>32776.56446530975</v>
      </c>
      <c r="K41" s="92" t="s">
        <v>45</v>
      </c>
      <c r="L41" s="253">
        <f t="shared" si="5"/>
        <v>35667.035820915626</v>
      </c>
      <c r="M41" s="93" t="s">
        <v>45</v>
      </c>
      <c r="N41" s="253">
        <f t="shared" si="6"/>
        <v>40074.06966462705</v>
      </c>
      <c r="O41" s="93" t="s">
        <v>45</v>
      </c>
      <c r="P41" s="253">
        <f t="shared" si="7"/>
        <v>34247.03850178483</v>
      </c>
      <c r="Q41" s="93" t="s">
        <v>45</v>
      </c>
      <c r="R41" s="253">
        <f t="shared" si="8"/>
        <v>35496.11947044433</v>
      </c>
      <c r="S41" s="93" t="s">
        <v>45</v>
      </c>
      <c r="T41" s="253">
        <f t="shared" si="9"/>
        <v>30506.664564790408</v>
      </c>
      <c r="U41" s="93" t="s">
        <v>45</v>
      </c>
      <c r="V41" s="253">
        <f t="shared" si="10"/>
        <v>39112.88429066149</v>
      </c>
      <c r="W41" s="93" t="s">
        <v>45</v>
      </c>
      <c r="X41" s="253">
        <f t="shared" si="11"/>
        <v>34790.16304695935</v>
      </c>
      <c r="Y41" s="93" t="s">
        <v>45</v>
      </c>
      <c r="Z41" s="253">
        <f t="shared" si="12"/>
        <v>38807.89051608406</v>
      </c>
      <c r="AA41" s="93" t="s">
        <v>45</v>
      </c>
      <c r="AB41" s="253">
        <f t="shared" si="13"/>
        <v>32297.93825739924</v>
      </c>
      <c r="AC41" s="93" t="s">
        <v>45</v>
      </c>
      <c r="AH41" s="253">
        <f t="shared" si="14"/>
        <v>25268.914940950635</v>
      </c>
      <c r="AI41" s="93" t="s">
        <v>45</v>
      </c>
      <c r="AJ41" s="253">
        <f t="shared" si="15"/>
        <v>31557.06055038338</v>
      </c>
      <c r="AK41" s="93" t="s">
        <v>45</v>
      </c>
    </row>
    <row r="42" spans="1:37" s="103" customFormat="1" ht="12.75">
      <c r="A42" s="252">
        <v>5</v>
      </c>
      <c r="B42" s="253">
        <f t="shared" si="0"/>
        <v>26610.123828932978</v>
      </c>
      <c r="C42" s="92" t="s">
        <v>45</v>
      </c>
      <c r="D42" s="253">
        <f t="shared" si="1"/>
        <v>29114.66873593905</v>
      </c>
      <c r="E42" s="93" t="s">
        <v>45</v>
      </c>
      <c r="F42" s="253">
        <f t="shared" si="2"/>
        <v>35068.23483036908</v>
      </c>
      <c r="G42" s="93" t="s">
        <v>45</v>
      </c>
      <c r="H42" s="253">
        <f t="shared" si="3"/>
        <v>37792.57996778432</v>
      </c>
      <c r="I42" s="93" t="s">
        <v>45</v>
      </c>
      <c r="J42" s="315">
        <f t="shared" si="4"/>
        <v>35654.30637553282</v>
      </c>
      <c r="K42" s="92" t="s">
        <v>45</v>
      </c>
      <c r="L42" s="253">
        <f t="shared" si="5"/>
        <v>37876.434886998584</v>
      </c>
      <c r="M42" s="93" t="s">
        <v>45</v>
      </c>
      <c r="N42" s="253">
        <f t="shared" si="6"/>
        <v>43383.32394229976</v>
      </c>
      <c r="O42" s="93" t="s">
        <v>45</v>
      </c>
      <c r="P42" s="253">
        <f t="shared" si="7"/>
        <v>36666.03350776794</v>
      </c>
      <c r="Q42" s="93" t="s">
        <v>45</v>
      </c>
      <c r="R42" s="253">
        <f t="shared" si="8"/>
        <v>38250.83826730535</v>
      </c>
      <c r="S42" s="93" t="s">
        <v>45</v>
      </c>
      <c r="T42" s="253">
        <f t="shared" si="9"/>
        <v>32593.935865993015</v>
      </c>
      <c r="U42" s="93" t="s">
        <v>45</v>
      </c>
      <c r="V42" s="253">
        <f t="shared" si="10"/>
        <v>41897.19848974755</v>
      </c>
      <c r="W42" s="93" t="s">
        <v>45</v>
      </c>
      <c r="X42" s="253">
        <f t="shared" si="11"/>
        <v>37084.39403224708</v>
      </c>
      <c r="Y42" s="93" t="s">
        <v>45</v>
      </c>
      <c r="Z42" s="253">
        <f t="shared" si="12"/>
        <v>44905.030193294435</v>
      </c>
      <c r="AA42" s="93" t="s">
        <v>45</v>
      </c>
      <c r="AB42" s="253">
        <f t="shared" si="13"/>
        <v>36726.49410170031</v>
      </c>
      <c r="AC42" s="93" t="s">
        <v>45</v>
      </c>
      <c r="AH42" s="253">
        <f t="shared" si="14"/>
        <v>26742.30683388223</v>
      </c>
      <c r="AI42" s="93" t="s">
        <v>45</v>
      </c>
      <c r="AJ42" s="253">
        <f t="shared" si="15"/>
        <v>32847.35427226451</v>
      </c>
      <c r="AK42" s="93" t="s">
        <v>45</v>
      </c>
    </row>
    <row r="43" spans="1:37" s="103" customFormat="1" ht="12.75" hidden="1">
      <c r="A43" s="252">
        <v>6</v>
      </c>
      <c r="B43" s="253">
        <f t="shared" si="0"/>
        <v>28483.585720345873</v>
      </c>
      <c r="C43" s="92" t="s">
        <v>45</v>
      </c>
      <c r="D43" s="253">
        <f t="shared" si="1"/>
        <v>30678.416128311437</v>
      </c>
      <c r="E43" s="93" t="s">
        <v>45</v>
      </c>
      <c r="F43" s="253">
        <f t="shared" si="2"/>
        <v>36417.88889537341</v>
      </c>
      <c r="G43" s="93" t="s">
        <v>45</v>
      </c>
      <c r="H43" s="253">
        <f t="shared" si="3"/>
        <v>38929.33140778194</v>
      </c>
      <c r="I43" s="93" t="s">
        <v>45</v>
      </c>
      <c r="J43" s="315">
        <f t="shared" si="4"/>
        <v>38555.91053047631</v>
      </c>
      <c r="K43" s="92" t="s">
        <v>45</v>
      </c>
      <c r="L43" s="253">
        <f t="shared" si="5"/>
        <v>40103.185331885004</v>
      </c>
      <c r="M43" s="93" t="s">
        <v>45</v>
      </c>
      <c r="N43" s="253">
        <f t="shared" si="6"/>
        <v>46762.10787001407</v>
      </c>
      <c r="O43" s="93" t="s">
        <v>45</v>
      </c>
      <c r="P43" s="253">
        <f t="shared" si="7"/>
        <v>39129.944682267465</v>
      </c>
      <c r="Q43" s="93" t="s">
        <v>45</v>
      </c>
      <c r="R43" s="253">
        <f t="shared" si="8"/>
        <v>41060.346322645644</v>
      </c>
      <c r="S43" s="93" t="s">
        <v>45</v>
      </c>
      <c r="T43" s="253">
        <f t="shared" si="9"/>
        <v>34717.0234511142</v>
      </c>
      <c r="U43" s="93" t="s">
        <v>45</v>
      </c>
      <c r="V43" s="253">
        <f t="shared" si="10"/>
        <v>44736.46601184377</v>
      </c>
      <c r="W43" s="93" t="s">
        <v>45</v>
      </c>
      <c r="X43" s="253">
        <f t="shared" si="11"/>
        <v>39419.095364156296</v>
      </c>
      <c r="Y43" s="93" t="s">
        <v>45</v>
      </c>
      <c r="Z43" s="253">
        <f t="shared" si="12"/>
        <v>51061.38622963472</v>
      </c>
      <c r="AA43" s="93" t="s">
        <v>45</v>
      </c>
      <c r="AB43" s="253">
        <f t="shared" si="13"/>
        <v>41197.49675881663</v>
      </c>
      <c r="AC43" s="93" t="s">
        <v>45</v>
      </c>
      <c r="AH43" s="253">
        <f t="shared" si="14"/>
        <v>28228.394125322724</v>
      </c>
      <c r="AI43" s="93" t="s">
        <v>45</v>
      </c>
      <c r="AJ43" s="253">
        <f t="shared" si="15"/>
        <v>34148.24561127249</v>
      </c>
      <c r="AK43" s="93" t="s">
        <v>45</v>
      </c>
    </row>
    <row r="44" spans="1:37" s="103" customFormat="1" ht="12.75" hidden="1">
      <c r="A44" s="252">
        <v>7</v>
      </c>
      <c r="B44" s="253">
        <f t="shared" si="0"/>
        <v>30374.581689460374</v>
      </c>
      <c r="C44" s="92" t="s">
        <v>45</v>
      </c>
      <c r="D44" s="253">
        <f t="shared" si="1"/>
        <v>32256.067104988513</v>
      </c>
      <c r="E44" s="93" t="s">
        <v>45</v>
      </c>
      <c r="F44" s="253">
        <f t="shared" si="2"/>
        <v>37779.812681903946</v>
      </c>
      <c r="G44" s="93" t="s">
        <v>45</v>
      </c>
      <c r="H44" s="253">
        <f t="shared" si="3"/>
        <v>40075.69505141861</v>
      </c>
      <c r="I44" s="93" t="s">
        <v>45</v>
      </c>
      <c r="J44" s="315">
        <f t="shared" si="4"/>
        <v>41481.59138862534</v>
      </c>
      <c r="K44" s="92" t="s">
        <v>45</v>
      </c>
      <c r="L44" s="253">
        <f t="shared" si="5"/>
        <v>42347.43721180679</v>
      </c>
      <c r="M44" s="93" t="s">
        <v>45</v>
      </c>
      <c r="N44" s="253">
        <f t="shared" si="6"/>
        <v>50212.11019828294</v>
      </c>
      <c r="O44" s="93" t="s">
        <v>45</v>
      </c>
      <c r="P44" s="253">
        <f t="shared" si="7"/>
        <v>41639.82727424212</v>
      </c>
      <c r="Q44" s="93" t="s">
        <v>45</v>
      </c>
      <c r="R44" s="253">
        <f t="shared" si="8"/>
        <v>43925.955712101146</v>
      </c>
      <c r="S44" s="93" t="s">
        <v>45</v>
      </c>
      <c r="T44" s="253">
        <f t="shared" si="9"/>
        <v>36876.74868434927</v>
      </c>
      <c r="U44" s="93" t="s">
        <v>45</v>
      </c>
      <c r="V44" s="253">
        <f t="shared" si="10"/>
        <v>47632.00015283971</v>
      </c>
      <c r="W44" s="93" t="s">
        <v>45</v>
      </c>
      <c r="X44" s="253">
        <f t="shared" si="11"/>
        <v>41795.203291980804</v>
      </c>
      <c r="Y44" s="93" t="s">
        <v>45</v>
      </c>
      <c r="Z44" s="253">
        <f t="shared" si="12"/>
        <v>57277.543429037236</v>
      </c>
      <c r="AA44" s="93" t="s">
        <v>45</v>
      </c>
      <c r="AB44" s="253">
        <f t="shared" si="13"/>
        <v>45711.36249593809</v>
      </c>
      <c r="AC44" s="93" t="s">
        <v>45</v>
      </c>
      <c r="AH44" s="253">
        <f t="shared" si="14"/>
        <v>29727.293817517853</v>
      </c>
      <c r="AI44" s="93" t="s">
        <v>45</v>
      </c>
      <c r="AJ44" s="253">
        <f t="shared" si="15"/>
        <v>35459.82919530325</v>
      </c>
      <c r="AK44" s="93" t="s">
        <v>45</v>
      </c>
    </row>
    <row r="45" spans="1:37" s="103" customFormat="1" ht="12.75" hidden="1">
      <c r="A45" s="252">
        <v>8</v>
      </c>
      <c r="B45" s="253">
        <f t="shared" si="0"/>
        <v>32283.28146784177</v>
      </c>
      <c r="C45" s="92" t="s">
        <v>45</v>
      </c>
      <c r="D45" s="253">
        <f t="shared" si="1"/>
        <v>33847.75231493222</v>
      </c>
      <c r="E45" s="93" t="s">
        <v>45</v>
      </c>
      <c r="F45" s="253">
        <f t="shared" si="2"/>
        <v>39154.123013866825</v>
      </c>
      <c r="G45" s="93" t="s">
        <v>45</v>
      </c>
      <c r="H45" s="253">
        <f t="shared" si="3"/>
        <v>41231.758418563586</v>
      </c>
      <c r="I45" s="93" t="s">
        <v>45</v>
      </c>
      <c r="J45" s="315">
        <f t="shared" si="4"/>
        <v>44431.565436685814</v>
      </c>
      <c r="K45" s="92" t="s">
        <v>45</v>
      </c>
      <c r="L45" s="253">
        <f t="shared" si="5"/>
        <v>44609.341969141344</v>
      </c>
      <c r="M45" s="93" t="s">
        <v>45</v>
      </c>
      <c r="N45" s="253">
        <f t="shared" si="6"/>
        <v>53735.062070643355</v>
      </c>
      <c r="O45" s="93" t="s">
        <v>45</v>
      </c>
      <c r="P45" s="253">
        <f t="shared" si="7"/>
        <v>44196.7628363346</v>
      </c>
      <c r="Q45" s="93" t="s">
        <v>45</v>
      </c>
      <c r="R45" s="253">
        <f t="shared" si="8"/>
        <v>46849.01135111737</v>
      </c>
      <c r="S45" s="93" t="s">
        <v>45</v>
      </c>
      <c r="T45" s="253">
        <f t="shared" si="9"/>
        <v>39073.953295112064</v>
      </c>
      <c r="U45" s="93" t="s">
        <v>45</v>
      </c>
      <c r="V45" s="253">
        <f t="shared" si="10"/>
        <v>50585.147064623365</v>
      </c>
      <c r="W45" s="93" t="s">
        <v>45</v>
      </c>
      <c r="X45" s="253">
        <f t="shared" si="11"/>
        <v>44213.67732386103</v>
      </c>
      <c r="Y45" s="93" t="s">
        <v>45</v>
      </c>
      <c r="Z45" s="253">
        <f t="shared" si="12"/>
        <v>63554.09242103007</v>
      </c>
      <c r="AA45" s="93" t="s">
        <v>45</v>
      </c>
      <c r="AB45" s="253">
        <f t="shared" si="13"/>
        <v>50268.511712028005</v>
      </c>
      <c r="AC45" s="93" t="s">
        <v>45</v>
      </c>
      <c r="AH45" s="253">
        <f t="shared" si="14"/>
        <v>31239.12403552972</v>
      </c>
      <c r="AI45" s="93" t="s">
        <v>45</v>
      </c>
      <c r="AJ45" s="253">
        <f t="shared" si="15"/>
        <v>36782.20054373052</v>
      </c>
      <c r="AK45" s="93" t="s">
        <v>45</v>
      </c>
    </row>
    <row r="46" spans="1:37" s="103" customFormat="1" ht="12.75" hidden="1">
      <c r="A46" s="252">
        <v>9</v>
      </c>
      <c r="B46" s="253">
        <f t="shared" si="0"/>
        <v>34209.8564603605</v>
      </c>
      <c r="C46" s="92" t="s">
        <v>45</v>
      </c>
      <c r="D46" s="253">
        <f t="shared" si="1"/>
        <v>35453.60367461278</v>
      </c>
      <c r="E46" s="93" t="s">
        <v>45</v>
      </c>
      <c r="F46" s="253">
        <f t="shared" si="2"/>
        <v>40540.93785674251</v>
      </c>
      <c r="G46" s="93" t="s">
        <v>45</v>
      </c>
      <c r="H46" s="253">
        <f t="shared" si="3"/>
        <v>42397.60986313977</v>
      </c>
      <c r="I46" s="93" t="s">
        <v>45</v>
      </c>
      <c r="J46" s="315">
        <f t="shared" si="4"/>
        <v>47406.0512093311</v>
      </c>
      <c r="K46" s="92" t="s">
        <v>45</v>
      </c>
      <c r="L46" s="253">
        <f t="shared" si="5"/>
        <v>46889.05244573126</v>
      </c>
      <c r="M46" s="93" t="s">
        <v>45</v>
      </c>
      <c r="N46" s="253">
        <f t="shared" si="6"/>
        <v>57332.738095046734</v>
      </c>
      <c r="O46" s="93" t="s">
        <v>45</v>
      </c>
      <c r="P46" s="253">
        <f t="shared" si="7"/>
        <v>46801.859888697</v>
      </c>
      <c r="Q46" s="93" t="s">
        <v>45</v>
      </c>
      <c r="R46" s="253">
        <f t="shared" si="8"/>
        <v>49830.89182441071</v>
      </c>
      <c r="S46" s="93" t="s">
        <v>45</v>
      </c>
      <c r="T46" s="253">
        <f t="shared" si="9"/>
        <v>41309.49989143886</v>
      </c>
      <c r="U46" s="93" t="s">
        <v>45</v>
      </c>
      <c r="V46" s="253">
        <f t="shared" si="10"/>
        <v>53597.286584878515</v>
      </c>
      <c r="W46" s="93" t="s">
        <v>45</v>
      </c>
      <c r="X46" s="253">
        <f t="shared" si="11"/>
        <v>46675.50081336679</v>
      </c>
      <c r="Y46" s="93" t="s">
        <v>45</v>
      </c>
      <c r="Z46" s="253">
        <f t="shared" si="12"/>
        <v>69891.62971902612</v>
      </c>
      <c r="AA46" s="93" t="s">
        <v>45</v>
      </c>
      <c r="AB46" s="253">
        <f t="shared" si="13"/>
        <v>54869.36897908883</v>
      </c>
      <c r="AC46" s="93" t="s">
        <v>45</v>
      </c>
      <c r="AH46" s="253">
        <f t="shared" si="14"/>
        <v>32764.004038255276</v>
      </c>
      <c r="AI46" s="93" t="s">
        <v>45</v>
      </c>
      <c r="AJ46" s="253">
        <f t="shared" si="15"/>
        <v>38115.45607606678</v>
      </c>
      <c r="AK46" s="93" t="s">
        <v>45</v>
      </c>
    </row>
    <row r="47" spans="1:37" s="103" customFormat="1" ht="12.75">
      <c r="A47" s="252">
        <v>10</v>
      </c>
      <c r="B47" s="253">
        <f t="shared" si="0"/>
        <v>36154.47976184607</v>
      </c>
      <c r="C47" s="92" t="s">
        <v>45</v>
      </c>
      <c r="D47" s="253">
        <f t="shared" si="1"/>
        <v>37073.75438051906</v>
      </c>
      <c r="E47" s="93" t="s">
        <v>45</v>
      </c>
      <c r="F47" s="253">
        <f t="shared" si="2"/>
        <v>41940.376328895756</v>
      </c>
      <c r="G47" s="93" t="s">
        <v>45</v>
      </c>
      <c r="H47" s="253">
        <f t="shared" si="3"/>
        <v>43573.33858127784</v>
      </c>
      <c r="I47" s="93" t="s">
        <v>45</v>
      </c>
      <c r="J47" s="315">
        <f t="shared" si="4"/>
        <v>50405.26930914413</v>
      </c>
      <c r="K47" s="92" t="s">
        <v>45</v>
      </c>
      <c r="L47" s="253">
        <f t="shared" si="5"/>
        <v>49186.72289633491</v>
      </c>
      <c r="M47" s="93" t="s">
        <v>45</v>
      </c>
      <c r="N47" s="253">
        <f t="shared" si="6"/>
        <v>61006.95744236299</v>
      </c>
      <c r="O47" s="93" t="s">
        <v>45</v>
      </c>
      <c r="P47" s="253">
        <f t="shared" si="7"/>
        <v>49456.25459961069</v>
      </c>
      <c r="Q47" s="93" t="s">
        <v>45</v>
      </c>
      <c r="R47" s="253">
        <f t="shared" si="8"/>
        <v>52873.010236418195</v>
      </c>
      <c r="S47" s="93" t="s">
        <v>45</v>
      </c>
      <c r="T47" s="253">
        <f t="shared" si="9"/>
        <v>43584.272486378606</v>
      </c>
      <c r="U47" s="93" t="s">
        <v>45</v>
      </c>
      <c r="V47" s="253">
        <f t="shared" si="10"/>
        <v>56669.8330878789</v>
      </c>
      <c r="W47" s="93" t="s">
        <v>45</v>
      </c>
      <c r="X47" s="253">
        <f t="shared" si="11"/>
        <v>49181.68156091849</v>
      </c>
      <c r="Y47" s="93" t="s">
        <v>45</v>
      </c>
      <c r="Z47" s="253">
        <f t="shared" si="12"/>
        <v>76290.75777919615</v>
      </c>
      <c r="AA47" s="93" t="s">
        <v>45</v>
      </c>
      <c r="AB47" s="253">
        <f t="shared" si="13"/>
        <v>59514.363083841</v>
      </c>
      <c r="AC47" s="93" t="s">
        <v>45</v>
      </c>
      <c r="AH47" s="253">
        <f t="shared" si="14"/>
        <v>34302.05422955416</v>
      </c>
      <c r="AI47" s="93" t="s">
        <v>45</v>
      </c>
      <c r="AJ47" s="253">
        <f t="shared" si="15"/>
        <v>39459.69312070992</v>
      </c>
      <c r="AK47" s="93" t="s">
        <v>45</v>
      </c>
    </row>
    <row r="48" spans="1:37" s="103" customFormat="1" ht="12.75" hidden="1">
      <c r="A48" s="252">
        <v>11</v>
      </c>
      <c r="B48" s="253">
        <f t="shared" si="0"/>
        <v>38117.32617390755</v>
      </c>
      <c r="C48" s="92" t="s">
        <v>45</v>
      </c>
      <c r="D48" s="253">
        <f t="shared" si="1"/>
        <v>38708.33892179355</v>
      </c>
      <c r="E48" s="93" t="s">
        <v>45</v>
      </c>
      <c r="F48" s="253">
        <f t="shared" si="2"/>
        <v>43352.55871299837</v>
      </c>
      <c r="G48" s="93" t="s">
        <v>45</v>
      </c>
      <c r="H48" s="253">
        <f t="shared" si="3"/>
        <v>44759.034619551196</v>
      </c>
      <c r="I48" s="93" t="s">
        <v>45</v>
      </c>
      <c r="J48" s="315">
        <f t="shared" si="4"/>
        <v>53429.4424267565</v>
      </c>
      <c r="K48" s="92" t="s">
        <v>45</v>
      </c>
      <c r="L48" s="253">
        <f t="shared" si="5"/>
        <v>51502.509002209015</v>
      </c>
      <c r="M48" s="93" t="s">
        <v>45</v>
      </c>
      <c r="N48" s="253">
        <f t="shared" si="6"/>
        <v>64759.58497268411</v>
      </c>
      <c r="O48" s="93" t="s">
        <v>45</v>
      </c>
      <c r="P48" s="253">
        <f t="shared" si="7"/>
        <v>52161.11148332605</v>
      </c>
      <c r="Q48" s="93" t="s">
        <v>45</v>
      </c>
      <c r="R48" s="253">
        <f t="shared" si="8"/>
        <v>55976.81508326708</v>
      </c>
      <c r="S48" s="93" t="s">
        <v>45</v>
      </c>
      <c r="T48" s="253">
        <f t="shared" si="9"/>
        <v>45899.17703769787</v>
      </c>
      <c r="U48" s="93" t="s">
        <v>45</v>
      </c>
      <c r="V48" s="253">
        <f t="shared" si="10"/>
        <v>59804.236356810296</v>
      </c>
      <c r="W48" s="93" t="s">
        <v>45</v>
      </c>
      <c r="X48" s="253">
        <f t="shared" si="11"/>
        <v>51733.25243042222</v>
      </c>
      <c r="Y48" s="93" t="s">
        <v>45</v>
      </c>
      <c r="Z48" s="253">
        <f t="shared" si="12"/>
        <v>82752.0850599322</v>
      </c>
      <c r="AA48" s="93" t="s">
        <v>45</v>
      </c>
      <c r="AB48" s="253">
        <f t="shared" si="13"/>
        <v>64203.92706981924</v>
      </c>
      <c r="AC48" s="93" t="s">
        <v>45</v>
      </c>
      <c r="AH48" s="253">
        <f t="shared" si="14"/>
        <v>35853.39616948702</v>
      </c>
      <c r="AI48" s="93" t="s">
        <v>45</v>
      </c>
      <c r="AJ48" s="253">
        <f t="shared" si="15"/>
        <v>40815.00992377607</v>
      </c>
      <c r="AK48" s="93" t="s">
        <v>45</v>
      </c>
    </row>
    <row r="49" spans="1:37" s="103" customFormat="1" ht="12.75" hidden="1">
      <c r="A49" s="252">
        <v>12</v>
      </c>
      <c r="B49" s="253">
        <f t="shared" si="0"/>
        <v>40098.57222192246</v>
      </c>
      <c r="C49" s="92" t="s">
        <v>45</v>
      </c>
      <c r="D49" s="253">
        <f t="shared" si="1"/>
        <v>40357.493092993325</v>
      </c>
      <c r="E49" s="93" t="s">
        <v>45</v>
      </c>
      <c r="F49" s="253">
        <f t="shared" si="2"/>
        <v>44777.60646756618</v>
      </c>
      <c r="G49" s="93" t="s">
        <v>45</v>
      </c>
      <c r="H49" s="253">
        <f t="shared" si="3"/>
        <v>45954.7888832925</v>
      </c>
      <c r="I49" s="93" t="s">
        <v>45</v>
      </c>
      <c r="J49" s="315">
        <f t="shared" si="4"/>
        <v>56478.795361187105</v>
      </c>
      <c r="K49" s="92" t="s">
        <v>45</v>
      </c>
      <c r="L49" s="253">
        <f t="shared" si="5"/>
        <v>53836.567884824864</v>
      </c>
      <c r="M49" s="93" t="s">
        <v>45</v>
      </c>
      <c r="N49" s="253">
        <f t="shared" si="6"/>
        <v>68592.53239013128</v>
      </c>
      <c r="O49" s="93" t="s">
        <v>45</v>
      </c>
      <c r="P49" s="253">
        <f t="shared" si="7"/>
        <v>54917.624115557424</v>
      </c>
      <c r="Q49" s="93" t="s">
        <v>45</v>
      </c>
      <c r="R49" s="253">
        <f t="shared" si="8"/>
        <v>59143.79114680892</v>
      </c>
      <c r="S49" s="93" t="s">
        <v>45</v>
      </c>
      <c r="T49" s="253">
        <f t="shared" si="9"/>
        <v>48255.14200123776</v>
      </c>
      <c r="U49" s="93" t="s">
        <v>45</v>
      </c>
      <c r="V49" s="253">
        <f t="shared" si="10"/>
        <v>63001.9824781658</v>
      </c>
      <c r="W49" s="93" t="s">
        <v>45</v>
      </c>
      <c r="X49" s="253">
        <f t="shared" si="11"/>
        <v>54331.27198150376</v>
      </c>
      <c r="Y49" s="93" t="s">
        <v>45</v>
      </c>
      <c r="Z49" s="253">
        <f t="shared" si="12"/>
        <v>89276.22608190782</v>
      </c>
      <c r="AA49" s="93" t="s">
        <v>45</v>
      </c>
      <c r="AB49" s="253">
        <f t="shared" si="13"/>
        <v>68938.49827989111</v>
      </c>
      <c r="AC49" s="93" t="s">
        <v>45</v>
      </c>
      <c r="AH49" s="253">
        <f t="shared" si="14"/>
        <v>37418.15258566555</v>
      </c>
      <c r="AI49" s="93" t="s">
        <v>45</v>
      </c>
      <c r="AJ49" s="253">
        <f t="shared" si="15"/>
        <v>42181.505658020025</v>
      </c>
      <c r="AK49" s="93" t="s">
        <v>45</v>
      </c>
    </row>
    <row r="50" spans="1:37" s="103" customFormat="1" ht="12.75" hidden="1">
      <c r="A50" s="252">
        <v>13</v>
      </c>
      <c r="B50" s="253">
        <f t="shared" si="0"/>
        <v>42098.39617219519</v>
      </c>
      <c r="C50" s="92" t="s">
        <v>45</v>
      </c>
      <c r="D50" s="253">
        <f t="shared" si="1"/>
        <v>42021.35400697783</v>
      </c>
      <c r="E50" s="93" t="s">
        <v>45</v>
      </c>
      <c r="F50" s="253">
        <f t="shared" si="2"/>
        <v>46215.64223861074</v>
      </c>
      <c r="G50" s="93" t="s">
        <v>45</v>
      </c>
      <c r="H50" s="253">
        <f t="shared" si="3"/>
        <v>47160.69314499265</v>
      </c>
      <c r="I50" s="93" t="s">
        <v>45</v>
      </c>
      <c r="J50" s="315">
        <f t="shared" si="4"/>
        <v>59553.55504038143</v>
      </c>
      <c r="K50" s="92" t="s">
        <v>45</v>
      </c>
      <c r="L50" s="253">
        <f t="shared" si="5"/>
        <v>56189.05811971891</v>
      </c>
      <c r="M50" s="93" t="s">
        <v>45</v>
      </c>
      <c r="N50" s="253">
        <f t="shared" si="6"/>
        <v>72507.7594268868</v>
      </c>
      <c r="O50" s="93" t="s">
        <v>45</v>
      </c>
      <c r="P50" s="253">
        <f t="shared" si="7"/>
        <v>57727.0158670806</v>
      </c>
      <c r="Q50" s="93" t="s">
        <v>45</v>
      </c>
      <c r="R50" s="253">
        <f t="shared" si="8"/>
        <v>62375.46041127651</v>
      </c>
      <c r="S50" s="93" t="s">
        <v>45</v>
      </c>
      <c r="T50" s="253">
        <f t="shared" si="9"/>
        <v>50653.118898268054</v>
      </c>
      <c r="U50" s="93" t="s">
        <v>45</v>
      </c>
      <c r="V50" s="253">
        <f t="shared" si="10"/>
        <v>66264.5947587727</v>
      </c>
      <c r="W50" s="93" t="s">
        <v>45</v>
      </c>
      <c r="X50" s="253">
        <f t="shared" si="11"/>
        <v>56976.82511773637</v>
      </c>
      <c r="Y50" s="93" t="s">
        <v>45</v>
      </c>
      <c r="Z50" s="253">
        <f t="shared" si="12"/>
        <v>95863.80148873958</v>
      </c>
      <c r="AA50" s="93" t="s">
        <v>45</v>
      </c>
      <c r="AB50" s="253">
        <f t="shared" si="13"/>
        <v>73718.51839920075</v>
      </c>
      <c r="AC50" s="93" t="s">
        <v>45</v>
      </c>
      <c r="AH50" s="253">
        <f t="shared" si="14"/>
        <v>38996.44738471503</v>
      </c>
      <c r="AI50" s="93" t="s">
        <v>45</v>
      </c>
      <c r="AJ50" s="253">
        <f t="shared" si="15"/>
        <v>43559.28043184335</v>
      </c>
      <c r="AK50" s="93" t="s">
        <v>45</v>
      </c>
    </row>
    <row r="51" spans="1:37" s="103" customFormat="1" ht="12.75" hidden="1">
      <c r="A51" s="252">
        <v>14</v>
      </c>
      <c r="B51" s="253">
        <f t="shared" si="0"/>
        <v>44116.97804928757</v>
      </c>
      <c r="C51" s="92" t="s">
        <v>45</v>
      </c>
      <c r="D51" s="253">
        <f t="shared" si="1"/>
        <v>43700.060107925354</v>
      </c>
      <c r="E51" s="93" t="s">
        <v>45</v>
      </c>
      <c r="F51" s="253">
        <f t="shared" si="2"/>
        <v>47666.78987140779</v>
      </c>
      <c r="G51" s="93" t="s">
        <v>45</v>
      </c>
      <c r="H51" s="253">
        <f t="shared" si="3"/>
        <v>48376.84005278302</v>
      </c>
      <c r="I51" s="93" t="s">
        <v>45</v>
      </c>
      <c r="J51" s="315">
        <f t="shared" si="4"/>
        <v>62653.95054195453</v>
      </c>
      <c r="K51" s="92" t="s">
        <v>45</v>
      </c>
      <c r="L51" s="253">
        <f t="shared" si="5"/>
        <v>58560.13975047986</v>
      </c>
      <c r="M51" s="93" t="s">
        <v>45</v>
      </c>
      <c r="N51" s="253">
        <f t="shared" si="6"/>
        <v>76507.27505719103</v>
      </c>
      <c r="O51" s="93" t="s">
        <v>45</v>
      </c>
      <c r="P51" s="253">
        <f t="shared" si="7"/>
        <v>60590.54065589089</v>
      </c>
      <c r="Q51" s="93" t="s">
        <v>45</v>
      </c>
      <c r="R51" s="253">
        <f t="shared" si="8"/>
        <v>65673.3830031367</v>
      </c>
      <c r="S51" s="93" t="s">
        <v>45</v>
      </c>
      <c r="T51" s="253">
        <f t="shared" si="9"/>
        <v>53094.082897193206</v>
      </c>
      <c r="U51" s="93" t="s">
        <v>45</v>
      </c>
      <c r="V51" s="253">
        <f t="shared" si="10"/>
        <v>69593.63466602421</v>
      </c>
      <c r="W51" s="93" t="s">
        <v>45</v>
      </c>
      <c r="X51" s="253">
        <f t="shared" si="11"/>
        <v>59671.02375126731</v>
      </c>
      <c r="Y51" s="93" t="s">
        <v>45</v>
      </c>
      <c r="Z51" s="253">
        <f t="shared" si="12"/>
        <v>102515.43810825844</v>
      </c>
      <c r="AA51" s="93" t="s">
        <v>45</v>
      </c>
      <c r="AB51" s="253">
        <f t="shared" si="13"/>
        <v>78544.43349854395</v>
      </c>
      <c r="AC51" s="93" t="s">
        <v>45</v>
      </c>
      <c r="AH51" s="253">
        <f t="shared" si="14"/>
        <v>40588.40566385098</v>
      </c>
      <c r="AI51" s="93" t="s">
        <v>45</v>
      </c>
      <c r="AJ51" s="253">
        <f t="shared" si="15"/>
        <v>44948.43529839199</v>
      </c>
      <c r="AK51" s="93" t="s">
        <v>45</v>
      </c>
    </row>
    <row r="52" spans="1:37" s="103" customFormat="1" ht="12.75">
      <c r="A52" s="252">
        <v>15</v>
      </c>
      <c r="B52" s="253">
        <f t="shared" si="0"/>
        <v>46154.49965352216</v>
      </c>
      <c r="C52" s="92" t="s">
        <v>45</v>
      </c>
      <c r="D52" s="253">
        <f t="shared" si="1"/>
        <v>45393.75118447873</v>
      </c>
      <c r="E52" s="93" t="s">
        <v>45</v>
      </c>
      <c r="F52" s="253">
        <f t="shared" si="2"/>
        <v>49131.1744223826</v>
      </c>
      <c r="G52" s="93" t="s">
        <v>45</v>
      </c>
      <c r="H52" s="253">
        <f t="shared" si="3"/>
        <v>49603.32313900172</v>
      </c>
      <c r="I52" s="93" t="s">
        <v>45</v>
      </c>
      <c r="J52" s="315">
        <f t="shared" si="4"/>
        <v>65780.21311413868</v>
      </c>
      <c r="K52" s="92" t="s">
        <v>45</v>
      </c>
      <c r="L52" s="253">
        <f t="shared" si="5"/>
        <v>60949.97430287268</v>
      </c>
      <c r="M52" s="93" t="s">
        <v>45</v>
      </c>
      <c r="N52" s="253">
        <f t="shared" si="6"/>
        <v>80593.13874206218</v>
      </c>
      <c r="O52" s="93" t="s">
        <v>45</v>
      </c>
      <c r="P52" s="253">
        <f t="shared" si="7"/>
        <v>63509.4837183915</v>
      </c>
      <c r="Q52" s="93" t="s">
        <v>45</v>
      </c>
      <c r="R52" s="253">
        <f t="shared" si="8"/>
        <v>69039.15815472571</v>
      </c>
      <c r="S52" s="93" t="s">
        <v>45</v>
      </c>
      <c r="T52" s="253">
        <f t="shared" si="9"/>
        <v>55579.03340997305</v>
      </c>
      <c r="U52" s="93" t="s">
        <v>45</v>
      </c>
      <c r="V52" s="253">
        <f t="shared" si="10"/>
        <v>72990.70279190296</v>
      </c>
      <c r="W52" s="93" t="s">
        <v>45</v>
      </c>
      <c r="X52" s="253">
        <f t="shared" si="11"/>
        <v>62415.0074842578</v>
      </c>
      <c r="Y52" s="93" t="s">
        <v>45</v>
      </c>
      <c r="Z52" s="253">
        <f t="shared" si="12"/>
        <v>109231.7690143935</v>
      </c>
      <c r="AA52" s="93" t="s">
        <v>45</v>
      </c>
      <c r="AB52" s="253">
        <f t="shared" si="13"/>
        <v>83416.69407817649</v>
      </c>
      <c r="AC52" s="93" t="s">
        <v>45</v>
      </c>
      <c r="AH52" s="253">
        <f t="shared" si="14"/>
        <v>42194.15372257045</v>
      </c>
      <c r="AI52" s="93" t="s">
        <v>45</v>
      </c>
      <c r="AJ52" s="253">
        <f t="shared" si="15"/>
        <v>46349.072264743285</v>
      </c>
      <c r="AK52" s="93" t="s">
        <v>45</v>
      </c>
    </row>
    <row r="53" spans="1:37" s="103" customFormat="1" ht="12.75" hidden="1">
      <c r="A53" s="252">
        <v>16</v>
      </c>
      <c r="B53" s="253">
        <f t="shared" si="0"/>
        <v>48211.1445786613</v>
      </c>
      <c r="C53" s="92" t="s">
        <v>45</v>
      </c>
      <c r="D53" s="253">
        <f t="shared" si="1"/>
        <v>47102.56838302255</v>
      </c>
      <c r="E53" s="93" t="s">
        <v>45</v>
      </c>
      <c r="F53" s="253">
        <f t="shared" si="2"/>
        <v>50608.92217111457</v>
      </c>
      <c r="G53" s="93" t="s">
        <v>45</v>
      </c>
      <c r="H53" s="253">
        <f t="shared" si="3"/>
        <v>50840.236828844936</v>
      </c>
      <c r="I53" s="93" t="s">
        <v>45</v>
      </c>
      <c r="J53" s="315">
        <f t="shared" si="4"/>
        <v>68932.5761969389</v>
      </c>
      <c r="K53" s="92" t="s">
        <v>45</v>
      </c>
      <c r="L53" s="253">
        <f t="shared" si="5"/>
        <v>63358.72479910212</v>
      </c>
      <c r="M53" s="93" t="s">
        <v>45</v>
      </c>
      <c r="N53" s="253">
        <f t="shared" si="6"/>
        <v>84767.46170551763</v>
      </c>
      <c r="O53" s="93" t="s">
        <v>45</v>
      </c>
      <c r="P53" s="253">
        <f t="shared" si="7"/>
        <v>66485.16240009428</v>
      </c>
      <c r="Q53" s="93" t="s">
        <v>45</v>
      </c>
      <c r="R53" s="253">
        <f t="shared" si="8"/>
        <v>72474.42519226974</v>
      </c>
      <c r="S53" s="93" t="s">
        <v>45</v>
      </c>
      <c r="T53" s="253">
        <f t="shared" si="9"/>
        <v>58108.994703631244</v>
      </c>
      <c r="U53" s="93" t="s">
        <v>45</v>
      </c>
      <c r="V53" s="253">
        <f t="shared" si="10"/>
        <v>76457.43984139911</v>
      </c>
      <c r="W53" s="93" t="s">
        <v>45</v>
      </c>
      <c r="X53" s="253">
        <f t="shared" si="11"/>
        <v>65209.94430756275</v>
      </c>
      <c r="Y53" s="93" t="s">
        <v>45</v>
      </c>
      <c r="Z53" s="253">
        <f t="shared" si="12"/>
        <v>116013.43358967887</v>
      </c>
      <c r="AA53" s="93" t="s">
        <v>45</v>
      </c>
      <c r="AB53" s="253">
        <f t="shared" si="13"/>
        <v>88335.75511206298</v>
      </c>
      <c r="AC53" s="93" t="s">
        <v>45</v>
      </c>
      <c r="AH53" s="253">
        <f t="shared" si="14"/>
        <v>43813.8190744599</v>
      </c>
      <c r="AI53" s="93" t="s">
        <v>45</v>
      </c>
      <c r="AJ53" s="253">
        <f t="shared" si="15"/>
        <v>47761.294301184316</v>
      </c>
      <c r="AK53" s="93" t="s">
        <v>45</v>
      </c>
    </row>
    <row r="54" spans="1:37" s="103" customFormat="1" ht="12.75" hidden="1">
      <c r="A54" s="252">
        <v>17</v>
      </c>
      <c r="B54" s="253">
        <f t="shared" si="0"/>
        <v>50287.09822976226</v>
      </c>
      <c r="C54" s="92" t="s">
        <v>45</v>
      </c>
      <c r="D54" s="253">
        <f t="shared" si="1"/>
        <v>48826.654221092</v>
      </c>
      <c r="E54" s="93" t="s">
        <v>45</v>
      </c>
      <c r="F54" s="253">
        <f t="shared" si="2"/>
        <v>52100.16063246094</v>
      </c>
      <c r="G54" s="93" t="s">
        <v>45</v>
      </c>
      <c r="H54" s="253">
        <f t="shared" si="3"/>
        <v>52087.67644910373</v>
      </c>
      <c r="I54" s="93" t="s">
        <v>45</v>
      </c>
      <c r="J54" s="315">
        <f t="shared" si="4"/>
        <v>72111.27544349701</v>
      </c>
      <c r="K54" s="92" t="s">
        <v>45</v>
      </c>
      <c r="L54" s="253">
        <f t="shared" si="5"/>
        <v>65786.55577221549</v>
      </c>
      <c r="M54" s="93" t="s">
        <v>45</v>
      </c>
      <c r="N54" s="253">
        <f t="shared" si="6"/>
        <v>89032.40824309288</v>
      </c>
      <c r="O54" s="93" t="s">
        <v>45</v>
      </c>
      <c r="P54" s="253">
        <f t="shared" si="7"/>
        <v>69518.92696632606</v>
      </c>
      <c r="Q54" s="93" t="s">
        <v>45</v>
      </c>
      <c r="R54" s="253">
        <f t="shared" si="8"/>
        <v>75980.86454890712</v>
      </c>
      <c r="S54" s="93" t="s">
        <v>45</v>
      </c>
      <c r="T54" s="253">
        <f t="shared" si="9"/>
        <v>60685.01652723248</v>
      </c>
      <c r="U54" s="93" t="s">
        <v>45</v>
      </c>
      <c r="V54" s="253">
        <f t="shared" si="10"/>
        <v>79995.52764593974</v>
      </c>
      <c r="W54" s="93" t="s">
        <v>45</v>
      </c>
      <c r="X54" s="253">
        <f t="shared" si="11"/>
        <v>68057.03131708548</v>
      </c>
      <c r="Y54" s="93" t="s">
        <v>45</v>
      </c>
      <c r="Z54" s="253">
        <f t="shared" si="12"/>
        <v>122861.0775883848</v>
      </c>
      <c r="AA54" s="93" t="s">
        <v>45</v>
      </c>
      <c r="AB54" s="253">
        <f t="shared" si="13"/>
        <v>93302.07609256744</v>
      </c>
      <c r="AC54" s="93" t="s">
        <v>45</v>
      </c>
      <c r="AH54" s="253">
        <f t="shared" si="14"/>
        <v>45447.53045911978</v>
      </c>
      <c r="AI54" s="93" t="s">
        <v>45</v>
      </c>
      <c r="AJ54" s="253">
        <f t="shared" si="15"/>
        <v>49185.2053505813</v>
      </c>
      <c r="AK54" s="93" t="s">
        <v>45</v>
      </c>
    </row>
    <row r="55" spans="1:37" s="103" customFormat="1" ht="12.75" hidden="1">
      <c r="A55" s="252">
        <v>18</v>
      </c>
      <c r="B55" s="253">
        <f t="shared" si="0"/>
        <v>52382.547841211766</v>
      </c>
      <c r="C55" s="92" t="s">
        <v>45</v>
      </c>
      <c r="D55" s="253">
        <f t="shared" si="1"/>
        <v>50566.152600915855</v>
      </c>
      <c r="E55" s="93" t="s">
        <v>45</v>
      </c>
      <c r="F55" s="253">
        <f t="shared" si="2"/>
        <v>53605.01856880215</v>
      </c>
      <c r="G55" s="93" t="s">
        <v>45</v>
      </c>
      <c r="H55" s="253">
        <f t="shared" si="3"/>
        <v>53345.7382369879</v>
      </c>
      <c r="I55" s="93" t="s">
        <v>45</v>
      </c>
      <c r="J55" s="315">
        <f t="shared" si="4"/>
        <v>75316.5487416679</v>
      </c>
      <c r="K55" s="92" t="s">
        <v>45</v>
      </c>
      <c r="L55" s="253">
        <f t="shared" si="5"/>
        <v>68233.63328064795</v>
      </c>
      <c r="M55" s="93" t="s">
        <v>45</v>
      </c>
      <c r="N55" s="253">
        <f t="shared" si="6"/>
        <v>93390.19706347732</v>
      </c>
      <c r="O55" s="93" t="s">
        <v>45</v>
      </c>
      <c r="P55" s="253">
        <f t="shared" si="7"/>
        <v>72612.16143344782</v>
      </c>
      <c r="Q55" s="93" t="s">
        <v>45</v>
      </c>
      <c r="R55" s="253">
        <f t="shared" si="8"/>
        <v>79560.19880334582</v>
      </c>
      <c r="S55" s="93" t="s">
        <v>45</v>
      </c>
      <c r="T55" s="253">
        <f t="shared" si="9"/>
        <v>63308.17475472109</v>
      </c>
      <c r="U55" s="93" t="s">
        <v>45</v>
      </c>
      <c r="V55" s="253">
        <f t="shared" si="10"/>
        <v>83606.69020246374</v>
      </c>
      <c r="W55" s="93" t="s">
        <v>45</v>
      </c>
      <c r="X55" s="253">
        <f t="shared" si="11"/>
        <v>70957.49544825612</v>
      </c>
      <c r="Y55" s="93" t="s">
        <v>45</v>
      </c>
      <c r="Z55" s="253">
        <f t="shared" si="12"/>
        <v>129775.35320028424</v>
      </c>
      <c r="AA55" s="93" t="s">
        <v>45</v>
      </c>
      <c r="AB55" s="253">
        <f t="shared" si="13"/>
        <v>98316.12107559318</v>
      </c>
      <c r="AC55" s="93" t="s">
        <v>45</v>
      </c>
      <c r="AH55" s="253">
        <f t="shared" si="14"/>
        <v>47095.41785420818</v>
      </c>
      <c r="AI55" s="93" t="s">
        <v>45</v>
      </c>
      <c r="AJ55" s="253">
        <f t="shared" si="15"/>
        <v>50620.9103378423</v>
      </c>
      <c r="AK55" s="93" t="s">
        <v>45</v>
      </c>
    </row>
    <row r="56" spans="1:37" s="103" customFormat="1" ht="12.75" hidden="1">
      <c r="A56" s="252">
        <v>19</v>
      </c>
      <c r="B56" s="253">
        <f t="shared" si="0"/>
        <v>54497.68249494019</v>
      </c>
      <c r="C56" s="92" t="s">
        <v>45</v>
      </c>
      <c r="D56" s="253">
        <f t="shared" si="1"/>
        <v>52321.20882309391</v>
      </c>
      <c r="E56" s="93" t="s">
        <v>45</v>
      </c>
      <c r="F56" s="253">
        <f t="shared" si="2"/>
        <v>55123.62600240891</v>
      </c>
      <c r="G56" s="93" t="s">
        <v>45</v>
      </c>
      <c r="H56" s="253">
        <f t="shared" si="3"/>
        <v>54614.51934903685</v>
      </c>
      <c r="I56" s="93" t="s">
        <v>45</v>
      </c>
      <c r="J56" s="315">
        <f t="shared" si="4"/>
        <v>78548.6362358085</v>
      </c>
      <c r="K56" s="92" t="s">
        <v>45</v>
      </c>
      <c r="L56" s="253">
        <f t="shared" si="5"/>
        <v>70700.12492290998</v>
      </c>
      <c r="M56" s="93" t="s">
        <v>45</v>
      </c>
      <c r="N56" s="253">
        <f t="shared" si="6"/>
        <v>97843.1026641034</v>
      </c>
      <c r="O56" s="93" t="s">
        <v>45</v>
      </c>
      <c r="P56" s="253">
        <f t="shared" si="7"/>
        <v>75766.28442110526</v>
      </c>
      <c r="Q56" s="93" t="s">
        <v>45</v>
      </c>
      <c r="R56" s="253">
        <f t="shared" si="8"/>
        <v>83214.1937448046</v>
      </c>
      <c r="S56" s="93" t="s">
        <v>45</v>
      </c>
      <c r="T56" s="253">
        <f t="shared" si="9"/>
        <v>65979.57204402151</v>
      </c>
      <c r="U56" s="93" t="s">
        <v>45</v>
      </c>
      <c r="V56" s="253">
        <f t="shared" si="10"/>
        <v>87292.6947387901</v>
      </c>
      <c r="W56" s="93" t="s">
        <v>45</v>
      </c>
      <c r="X56" s="253">
        <f t="shared" si="11"/>
        <v>73912.5942290913</v>
      </c>
      <c r="Y56" s="93" t="s">
        <v>45</v>
      </c>
      <c r="Z56" s="253">
        <f t="shared" si="12"/>
        <v>136756.91911505707</v>
      </c>
      <c r="AA56" s="93" t="s">
        <v>45</v>
      </c>
      <c r="AB56" s="253">
        <f t="shared" si="13"/>
        <v>103378.35872617367</v>
      </c>
      <c r="AC56" s="93" t="s">
        <v>45</v>
      </c>
      <c r="AH56" s="253">
        <f t="shared" si="14"/>
        <v>48757.61248760362</v>
      </c>
      <c r="AI56" s="93" t="s">
        <v>45</v>
      </c>
      <c r="AJ56" s="253">
        <f t="shared" si="15"/>
        <v>52068.51517947283</v>
      </c>
      <c r="AK56" s="93" t="s">
        <v>45</v>
      </c>
    </row>
    <row r="57" spans="1:37" s="103" customFormat="1" ht="13.5" thickBot="1">
      <c r="A57" s="254">
        <v>20</v>
      </c>
      <c r="B57" s="255">
        <f t="shared" si="0"/>
        <v>56632.693138818446</v>
      </c>
      <c r="C57" s="104" t="s">
        <v>45</v>
      </c>
      <c r="D57" s="255">
        <f t="shared" si="1"/>
        <v>54091.96960041109</v>
      </c>
      <c r="E57" s="105" t="s">
        <v>45</v>
      </c>
      <c r="F57" s="255">
        <f t="shared" si="2"/>
        <v>56656.11422793305</v>
      </c>
      <c r="G57" s="105" t="s">
        <v>45</v>
      </c>
      <c r="H57" s="255">
        <f t="shared" si="3"/>
        <v>55894.11787011923</v>
      </c>
      <c r="I57" s="105" t="s">
        <v>45</v>
      </c>
      <c r="J57" s="316">
        <f t="shared" si="4"/>
        <v>81807.7803487832</v>
      </c>
      <c r="K57" s="104" t="s">
        <v>45</v>
      </c>
      <c r="L57" s="255">
        <f t="shared" si="5"/>
        <v>73186.19985241987</v>
      </c>
      <c r="M57" s="105" t="s">
        <v>45</v>
      </c>
      <c r="N57" s="255">
        <f t="shared" si="6"/>
        <v>102393.45674155041</v>
      </c>
      <c r="O57" s="105" t="s">
        <v>45</v>
      </c>
      <c r="P57" s="255">
        <f t="shared" si="7"/>
        <v>78982.75002604342</v>
      </c>
      <c r="Q57" s="105" t="s">
        <v>45</v>
      </c>
      <c r="R57" s="255">
        <f t="shared" si="8"/>
        <v>86944.65946490367</v>
      </c>
      <c r="S57" s="105" t="s">
        <v>45</v>
      </c>
      <c r="T57" s="255">
        <f t="shared" si="9"/>
        <v>68700.33851281293</v>
      </c>
      <c r="U57" s="105" t="s">
        <v>45</v>
      </c>
      <c r="V57" s="255">
        <f t="shared" si="10"/>
        <v>91055.35280594649</v>
      </c>
      <c r="W57" s="105" t="s">
        <v>45</v>
      </c>
      <c r="X57" s="255">
        <f t="shared" si="11"/>
        <v>76923.61655230638</v>
      </c>
      <c r="Y57" s="105" t="s">
        <v>45</v>
      </c>
      <c r="Z57" s="255">
        <f t="shared" si="12"/>
        <v>143806.44058734147</v>
      </c>
      <c r="AA57" s="105" t="s">
        <v>45</v>
      </c>
      <c r="AB57" s="255">
        <f t="shared" si="13"/>
        <v>108489.26236452126</v>
      </c>
      <c r="AC57" s="105" t="s">
        <v>45</v>
      </c>
      <c r="AH57" s="255">
        <f t="shared" si="14"/>
        <v>50434.246849689065</v>
      </c>
      <c r="AI57" s="105" t="s">
        <v>45</v>
      </c>
      <c r="AJ57" s="255">
        <f t="shared" si="15"/>
        <v>53528.12679322644</v>
      </c>
      <c r="AK57" s="105" t="s">
        <v>45</v>
      </c>
    </row>
    <row r="58" spans="1:37" ht="12.75">
      <c r="A58" s="256" t="s">
        <v>35</v>
      </c>
      <c r="B58" s="106"/>
      <c r="C58" s="92"/>
      <c r="D58" s="107"/>
      <c r="E58" s="93"/>
      <c r="F58" s="106"/>
      <c r="G58" s="93"/>
      <c r="H58" s="106"/>
      <c r="I58" s="93"/>
      <c r="J58" s="317"/>
      <c r="K58" s="92"/>
      <c r="L58" s="257"/>
      <c r="M58" s="93"/>
      <c r="N58" s="106"/>
      <c r="O58" s="93"/>
      <c r="P58" s="106"/>
      <c r="Q58" s="93"/>
      <c r="R58" s="106"/>
      <c r="S58" s="93"/>
      <c r="T58" s="106"/>
      <c r="U58" s="93"/>
      <c r="V58" s="107"/>
      <c r="W58" s="93"/>
      <c r="X58" s="107"/>
      <c r="Y58" s="93"/>
      <c r="Z58" s="323"/>
      <c r="AA58" s="93"/>
      <c r="AB58" s="323"/>
      <c r="AC58" s="93"/>
      <c r="AH58" s="107"/>
      <c r="AI58" s="93"/>
      <c r="AJ58" s="106"/>
      <c r="AK58" s="93"/>
    </row>
    <row r="59" spans="1:37" s="108" customFormat="1" ht="22.5">
      <c r="A59" s="258" t="s">
        <v>20</v>
      </c>
      <c r="B59" s="259">
        <f>B57</f>
        <v>56632.693138818446</v>
      </c>
      <c r="C59" s="261" t="s">
        <v>45</v>
      </c>
      <c r="D59" s="259">
        <f>D57</f>
        <v>54091.96960041109</v>
      </c>
      <c r="E59" s="260" t="s">
        <v>45</v>
      </c>
      <c r="F59" s="259">
        <f>F57</f>
        <v>56656.11422793305</v>
      </c>
      <c r="G59" s="260" t="s">
        <v>45</v>
      </c>
      <c r="H59" s="259">
        <f>H57</f>
        <v>55894.11787011923</v>
      </c>
      <c r="I59" s="260" t="s">
        <v>45</v>
      </c>
      <c r="J59" s="262">
        <f>J57</f>
        <v>81807.7803487832</v>
      </c>
      <c r="K59" s="261" t="s">
        <v>45</v>
      </c>
      <c r="L59" s="259">
        <f>L57</f>
        <v>73186.19985241987</v>
      </c>
      <c r="M59" s="260" t="s">
        <v>45</v>
      </c>
      <c r="N59" s="259">
        <f>N57</f>
        <v>102393.45674155041</v>
      </c>
      <c r="O59" s="260" t="s">
        <v>45</v>
      </c>
      <c r="P59" s="259">
        <f>P57</f>
        <v>78982.75002604342</v>
      </c>
      <c r="Q59" s="260" t="s">
        <v>45</v>
      </c>
      <c r="R59" s="259">
        <f>R57</f>
        <v>86944.65946490367</v>
      </c>
      <c r="S59" s="260" t="s">
        <v>45</v>
      </c>
      <c r="T59" s="259">
        <f>T57</f>
        <v>68700.33851281293</v>
      </c>
      <c r="U59" s="260" t="s">
        <v>45</v>
      </c>
      <c r="V59" s="259">
        <f>V57</f>
        <v>91055.35280594649</v>
      </c>
      <c r="W59" s="260" t="s">
        <v>45</v>
      </c>
      <c r="X59" s="259">
        <f>X57</f>
        <v>76923.61655230638</v>
      </c>
      <c r="Y59" s="260" t="s">
        <v>45</v>
      </c>
      <c r="Z59" s="259">
        <f>Z57</f>
        <v>143806.44058734147</v>
      </c>
      <c r="AA59" s="260" t="s">
        <v>45</v>
      </c>
      <c r="AB59" s="259">
        <f>AB57</f>
        <v>108489.26236452126</v>
      </c>
      <c r="AC59" s="260" t="s">
        <v>45</v>
      </c>
      <c r="AH59" s="259">
        <f>AH57</f>
        <v>50434.246849689065</v>
      </c>
      <c r="AI59" s="260" t="s">
        <v>45</v>
      </c>
      <c r="AJ59" s="259">
        <f>AJ57</f>
        <v>53528.12679322644</v>
      </c>
      <c r="AK59" s="260" t="s">
        <v>45</v>
      </c>
    </row>
    <row r="60" spans="1:37" ht="12.75">
      <c r="A60" s="263"/>
      <c r="B60" s="264"/>
      <c r="C60" s="304"/>
      <c r="D60" s="264"/>
      <c r="E60" s="265"/>
      <c r="F60" s="264"/>
      <c r="G60" s="265"/>
      <c r="H60" s="264"/>
      <c r="I60" s="265"/>
      <c r="J60" s="318"/>
      <c r="K60" s="304"/>
      <c r="L60" s="264"/>
      <c r="M60" s="265"/>
      <c r="N60" s="264"/>
      <c r="O60" s="265"/>
      <c r="P60" s="264"/>
      <c r="Q60" s="265"/>
      <c r="R60" s="264"/>
      <c r="S60" s="265"/>
      <c r="T60" s="264"/>
      <c r="U60" s="265"/>
      <c r="V60" s="264"/>
      <c r="W60" s="265"/>
      <c r="X60" s="264"/>
      <c r="Y60" s="265"/>
      <c r="Z60" s="264"/>
      <c r="AA60" s="265"/>
      <c r="AB60" s="264"/>
      <c r="AC60" s="265"/>
      <c r="AH60" s="264"/>
      <c r="AI60" s="265"/>
      <c r="AJ60" s="264"/>
      <c r="AK60" s="265"/>
    </row>
    <row r="61" spans="1:37" s="110" customFormat="1" ht="13.5" thickBot="1">
      <c r="A61" s="109" t="s">
        <v>8</v>
      </c>
      <c r="B61" s="266">
        <f>B13*B20*(1-B5/100)/1000+B13*B22*(B5/100)/1000</f>
        <v>2198.917931407002</v>
      </c>
      <c r="C61" s="268" t="s">
        <v>6</v>
      </c>
      <c r="D61" s="266">
        <f>D13*D20*(1-D5/100)/1000+D13*D22*(D5/100)/1000</f>
        <v>1553.866087140335</v>
      </c>
      <c r="E61" s="267" t="s">
        <v>6</v>
      </c>
      <c r="F61" s="266">
        <f>F13*F20*(1-F5/100)/1000+F13*F22*(F5/100)/1000</f>
        <v>1682.8453556686238</v>
      </c>
      <c r="G61" s="267" t="s">
        <v>6</v>
      </c>
      <c r="H61" s="266">
        <f>H13*H20*(1-H5/100)/1000+H13*H22*(H5/100)/1000</f>
        <v>1189.183229954338</v>
      </c>
      <c r="I61" s="267" t="s">
        <v>6</v>
      </c>
      <c r="J61" s="269">
        <f>J13*J20/1000+J9*B20/1000</f>
        <v>2337.6924712328773</v>
      </c>
      <c r="K61" s="268" t="s">
        <v>6</v>
      </c>
      <c r="L61" s="266">
        <f>L13*L20/1000+L9*B20/1000</f>
        <v>1461.4287729250605</v>
      </c>
      <c r="M61" s="267" t="s">
        <v>6</v>
      </c>
      <c r="N61" s="266">
        <f>N13*N20/1000+N9*B20/1000</f>
        <v>9067.912188404596</v>
      </c>
      <c r="O61" s="267" t="s">
        <v>6</v>
      </c>
      <c r="P61" s="266">
        <f>P13*P20/1000+P9*B20/1000</f>
        <v>6073.051286210046</v>
      </c>
      <c r="Q61" s="267" t="s">
        <v>6</v>
      </c>
      <c r="R61" s="266">
        <f>R13*R20/1000+R9*B20/1000</f>
        <v>7308.783224935479</v>
      </c>
      <c r="S61" s="267" t="s">
        <v>6</v>
      </c>
      <c r="T61" s="266">
        <f>T13*T20/1000+T9*B20/1000</f>
        <v>4929.5285020006595</v>
      </c>
      <c r="U61" s="267" t="s">
        <v>6</v>
      </c>
      <c r="V61" s="266">
        <f>V13*V20/1000+V9*B20/1000</f>
        <v>6936.887182413031</v>
      </c>
      <c r="W61" s="267" t="s">
        <v>6</v>
      </c>
      <c r="X61" s="266">
        <f>X13*X20/1000+X9*B20/1000</f>
        <v>4929.5285020006595</v>
      </c>
      <c r="Y61" s="267" t="s">
        <v>6</v>
      </c>
      <c r="Z61" s="266">
        <f>Z13*Z20/1000</f>
        <v>11998.739486392695</v>
      </c>
      <c r="AA61" s="267" t="s">
        <v>6</v>
      </c>
      <c r="AB61" s="266">
        <f>AB13*AB20/1000</f>
        <v>8478.913246392694</v>
      </c>
      <c r="AC61" s="267" t="s">
        <v>6</v>
      </c>
      <c r="AH61" s="266">
        <f>AH13*AH20/1000</f>
        <v>2422.5466418264846</v>
      </c>
      <c r="AI61" s="267" t="s">
        <v>6</v>
      </c>
      <c r="AJ61" s="266">
        <f>AJ13*AJ20/1000</f>
        <v>1884.2029436428209</v>
      </c>
      <c r="AK61" s="267" t="s">
        <v>6</v>
      </c>
    </row>
    <row r="62" spans="10:13" ht="12.75">
      <c r="J62" s="111" t="s">
        <v>69</v>
      </c>
      <c r="K62" s="112"/>
      <c r="L62" s="111"/>
      <c r="M62" s="112"/>
    </row>
    <row r="63" spans="4:28" ht="12.75">
      <c r="D63" s="119"/>
      <c r="J63" s="116" t="s">
        <v>68</v>
      </c>
      <c r="L63" s="116"/>
      <c r="V63" s="118"/>
      <c r="X63" s="118"/>
      <c r="Z63" s="118"/>
      <c r="AB63" s="118"/>
    </row>
    <row r="64" spans="10:12" ht="12.75">
      <c r="J64" s="329" t="s">
        <v>169</v>
      </c>
      <c r="L64" s="120"/>
    </row>
    <row r="65" ht="12.75">
      <c r="J65" s="120" t="s">
        <v>70</v>
      </c>
    </row>
    <row r="66" ht="12.75"/>
    <row r="67" spans="4:28" ht="12.75">
      <c r="D67" s="119"/>
      <c r="N67" s="122"/>
      <c r="O67" s="123"/>
      <c r="P67" s="122"/>
      <c r="Q67" s="123"/>
      <c r="R67" s="123"/>
      <c r="S67" s="123"/>
      <c r="T67" s="118"/>
      <c r="U67" s="123"/>
      <c r="V67" s="118"/>
      <c r="X67" s="118"/>
      <c r="Z67" s="118"/>
      <c r="AB67" s="118"/>
    </row>
    <row r="68" spans="1:28" ht="12.75">
      <c r="A68" s="37"/>
      <c r="D68" s="119"/>
      <c r="J68" s="124"/>
      <c r="K68" s="125"/>
      <c r="L68" s="124"/>
      <c r="M68" s="125"/>
      <c r="N68" s="122"/>
      <c r="O68" s="123"/>
      <c r="P68" s="122"/>
      <c r="Q68" s="123"/>
      <c r="R68" s="123"/>
      <c r="S68" s="123"/>
      <c r="T68" s="118"/>
      <c r="U68" s="123"/>
      <c r="V68" s="118"/>
      <c r="X68" s="118"/>
      <c r="Z68" s="118"/>
      <c r="AB68" s="118"/>
    </row>
    <row r="69" spans="4:28" ht="12.75">
      <c r="D69" s="119"/>
      <c r="J69" s="124"/>
      <c r="K69" s="125"/>
      <c r="L69" s="124"/>
      <c r="M69" s="125"/>
      <c r="N69" s="122"/>
      <c r="O69" s="123"/>
      <c r="P69" s="122"/>
      <c r="Q69" s="123"/>
      <c r="R69" s="123"/>
      <c r="S69" s="123"/>
      <c r="T69" s="118"/>
      <c r="U69" s="123"/>
      <c r="V69" s="118"/>
      <c r="X69" s="118"/>
      <c r="Z69" s="118"/>
      <c r="AB69" s="118"/>
    </row>
    <row r="70" spans="1:28" ht="12.75">
      <c r="A70" s="37"/>
      <c r="D70" s="119"/>
      <c r="J70" s="124"/>
      <c r="K70" s="125"/>
      <c r="L70" s="124"/>
      <c r="M70" s="125"/>
      <c r="N70" s="122"/>
      <c r="O70" s="123"/>
      <c r="P70" s="122"/>
      <c r="Q70" s="123"/>
      <c r="R70" s="123"/>
      <c r="S70" s="123"/>
      <c r="T70" s="118"/>
      <c r="U70" s="123"/>
      <c r="V70" s="118"/>
      <c r="X70" s="118"/>
      <c r="Z70" s="118"/>
      <c r="AB70" s="118"/>
    </row>
    <row r="71" spans="1:28" ht="12.75">
      <c r="A71" s="37"/>
      <c r="D71" s="119"/>
      <c r="J71" s="124"/>
      <c r="K71" s="125"/>
      <c r="L71" s="124"/>
      <c r="M71" s="125"/>
      <c r="N71" s="122"/>
      <c r="O71" s="123"/>
      <c r="P71" s="122"/>
      <c r="Q71" s="123"/>
      <c r="R71" s="123"/>
      <c r="S71" s="123"/>
      <c r="T71" s="118"/>
      <c r="U71" s="123"/>
      <c r="V71" s="118"/>
      <c r="X71" s="118"/>
      <c r="Z71" s="118"/>
      <c r="AB71" s="118"/>
    </row>
    <row r="72" spans="4:28" ht="12.75">
      <c r="D72" s="126"/>
      <c r="T72" s="118"/>
      <c r="V72" s="118"/>
      <c r="X72" s="118"/>
      <c r="Z72" s="118"/>
      <c r="AB72" s="118"/>
    </row>
    <row r="75" ht="12.75"/>
    <row r="76" ht="12.75"/>
    <row r="77" ht="12.75"/>
    <row r="78" ht="12.75"/>
    <row r="91" ht="12.75"/>
    <row r="92" ht="12.75"/>
    <row r="93" ht="12.75"/>
    <row r="94" ht="12.75"/>
  </sheetData>
  <sheetProtection password="CC3F" sheet="1"/>
  <mergeCells count="16">
    <mergeCell ref="X1:Y1"/>
    <mergeCell ref="J1:K1"/>
    <mergeCell ref="R1:S1"/>
    <mergeCell ref="P1:Q1"/>
    <mergeCell ref="V1:W1"/>
    <mergeCell ref="Z1:AA1"/>
    <mergeCell ref="AJ1:AK1"/>
    <mergeCell ref="B1:C1"/>
    <mergeCell ref="F1:G1"/>
    <mergeCell ref="AB1:AC1"/>
    <mergeCell ref="D1:E1"/>
    <mergeCell ref="H1:I1"/>
    <mergeCell ref="AH1:AI1"/>
    <mergeCell ref="L1:M1"/>
    <mergeCell ref="N1:O1"/>
    <mergeCell ref="T1:U1"/>
  </mergeCells>
  <printOptions/>
  <pageMargins left="0.787401575" right="0.787401575" top="0.984251969" bottom="0.984251969" header="0.4921259845" footer="0.4921259845"/>
  <pageSetup horizontalDpi="600" verticalDpi="600" orientation="portrait" paperSize="9" r:id="rId3"/>
  <ignoredErrors>
    <ignoredError sqref="N28 L28" unlockedFormula="1"/>
  </ignoredErrors>
  <legacyDrawing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1:Q88"/>
  <sheetViews>
    <sheetView tabSelected="1" zoomScale="85" zoomScaleNormal="85" zoomScalePageLayoutView="0" workbookViewId="0" topLeftCell="A1">
      <selection activeCell="D1" sqref="D1"/>
    </sheetView>
  </sheetViews>
  <sheetFormatPr defaultColWidth="11.421875" defaultRowHeight="12.75"/>
  <cols>
    <col min="1" max="1" width="49.421875" style="34" customWidth="1"/>
    <col min="2" max="2" width="3.7109375" style="34" hidden="1" customWidth="1"/>
    <col min="3" max="3" width="22.57421875" style="34" customWidth="1"/>
    <col min="4" max="4" width="19.00390625" style="34" customWidth="1"/>
    <col min="5" max="5" width="2.8515625" style="34" hidden="1" customWidth="1"/>
    <col min="6" max="6" width="19.57421875" style="34" customWidth="1"/>
    <col min="7" max="7" width="20.7109375" style="34" customWidth="1"/>
    <col min="8" max="8" width="11.421875" style="34" hidden="1" customWidth="1"/>
    <col min="9" max="10" width="11.421875" style="34" customWidth="1"/>
    <col min="11" max="11" width="11.57421875" style="34" bestFit="1" customWidth="1"/>
    <col min="12" max="12" width="11.421875" style="34" customWidth="1"/>
    <col min="13" max="13" width="26.28125" style="34" customWidth="1"/>
    <col min="14" max="14" width="28.8515625" style="34" customWidth="1"/>
    <col min="15" max="15" width="11.421875" style="39" customWidth="1"/>
    <col min="16" max="16" width="11.421875" style="163" customWidth="1"/>
    <col min="17" max="17" width="11.57421875" style="163" bestFit="1" customWidth="1"/>
    <col min="18" max="16384" width="11.421875" style="34" customWidth="1"/>
  </cols>
  <sheetData>
    <row r="1" spans="1:14" ht="16.5" customHeight="1" thickBot="1">
      <c r="A1" s="155"/>
      <c r="B1" s="364"/>
      <c r="C1" s="155"/>
      <c r="D1" s="156"/>
      <c r="E1" s="155"/>
      <c r="F1" s="155"/>
      <c r="G1" s="155"/>
      <c r="H1" s="155"/>
      <c r="I1" s="155"/>
      <c r="J1" s="155"/>
      <c r="K1" s="155"/>
      <c r="L1" s="155"/>
      <c r="M1" s="155"/>
      <c r="N1" s="155"/>
    </row>
    <row r="2" spans="1:14" ht="12.75" customHeight="1">
      <c r="A2" s="39"/>
      <c r="B2" s="151"/>
      <c r="C2" s="365"/>
      <c r="D2" s="366"/>
      <c r="E2" s="367">
        <v>1</v>
      </c>
      <c r="F2" s="365"/>
      <c r="G2" s="366"/>
      <c r="H2" s="151"/>
      <c r="I2" s="152"/>
      <c r="J2" s="405" t="s">
        <v>183</v>
      </c>
      <c r="K2" s="378"/>
      <c r="L2" s="378"/>
      <c r="M2" s="378"/>
      <c r="N2" s="39"/>
    </row>
    <row r="3" spans="1:14" ht="15" customHeight="1" thickBot="1">
      <c r="A3" s="39"/>
      <c r="B3" s="151"/>
      <c r="C3" s="368"/>
      <c r="D3" s="369"/>
      <c r="E3" s="151"/>
      <c r="F3" s="368"/>
      <c r="G3" s="369"/>
      <c r="H3" s="153">
        <v>3</v>
      </c>
      <c r="I3" s="152"/>
      <c r="J3" s="378"/>
      <c r="K3" s="378"/>
      <c r="L3" s="378"/>
      <c r="M3" s="378"/>
      <c r="N3" s="39"/>
    </row>
    <row r="4" spans="1:14" ht="12.75">
      <c r="A4" s="79" t="s">
        <v>27</v>
      </c>
      <c r="B4" s="154"/>
      <c r="C4" s="299"/>
      <c r="D4" s="296"/>
      <c r="E4" s="128"/>
      <c r="F4" s="127"/>
      <c r="G4" s="158"/>
      <c r="H4" s="151"/>
      <c r="I4" s="152"/>
      <c r="J4" s="378"/>
      <c r="K4" s="378"/>
      <c r="L4" s="378"/>
      <c r="M4" s="378"/>
      <c r="N4" s="39"/>
    </row>
    <row r="5" spans="1:14" ht="12.75">
      <c r="A5" s="83" t="s">
        <v>73</v>
      </c>
      <c r="B5" s="130"/>
      <c r="C5" s="134">
        <f>IF(INDEX('2. Dateneingabe'!B3:'2. Dateneingabe'!AJ3,1,'3. Ausgabe'!$E$2*2-1)=0,"",INDEX('2. Dateneingabe'!B3:'2. Dateneingabe'!AJ3,1,'3. Ausgabe'!$E$2*2-1))</f>
        <v>22</v>
      </c>
      <c r="D5" s="178" t="str">
        <f>IF(INDEX('2. Dateneingabe'!C3:'2. Dateneingabe'!AK3,1,'3. Ausgabe'!$E$2*2-1)=0,"",INDEX('2. Dateneingabe'!C3:'2. Dateneingabe'!AK3,1,'3. Ausgabe'!$E$2*2-1))</f>
        <v>Cent / kWh</v>
      </c>
      <c r="E5" s="130"/>
      <c r="F5" s="129">
        <f>IF(INDEX('2. Dateneingabe'!B3:'2. Dateneingabe'!AK3,1,'3. Ausgabe'!$H$3*2-1)=0,"",INDEX('2. Dateneingabe'!B3:'2. Dateneingabe'!AK3,1,'3. Ausgabe'!$H$3*2-1))</f>
        <v>22</v>
      </c>
      <c r="G5" s="182" t="str">
        <f>IF(INDEX('2. Dateneingabe'!B3:AK3,1,'3. Ausgabe'!$H$3*2)=0,"",INDEX('2. Dateneingabe'!B3:AK3,1,'3. Ausgabe'!$H$3*2))</f>
        <v>Cent / kWh</v>
      </c>
      <c r="I5" s="39"/>
      <c r="J5" s="378"/>
      <c r="K5" s="378"/>
      <c r="L5" s="378"/>
      <c r="M5" s="378"/>
      <c r="N5" s="39"/>
    </row>
    <row r="6" spans="1:14" ht="15.75">
      <c r="A6" s="83" t="s">
        <v>93</v>
      </c>
      <c r="B6" s="130"/>
      <c r="C6" s="134">
        <f>IF(INDEX('2. Dateneingabe'!B4:'2. Dateneingabe'!AJ4,1,'3. Ausgabe'!$E$2*2-1)=0,"",INDEX('2. Dateneingabe'!B4:'2. Dateneingabe'!AJ4,1,'3. Ausgabe'!$E$2*2-1))</f>
        <v>15</v>
      </c>
      <c r="D6" s="178" t="str">
        <f>IF(INDEX('2. Dateneingabe'!C4:'2. Dateneingabe'!AK4,1,'3. Ausgabe'!$E$2*2-1)=0,"",INDEX('2. Dateneingabe'!C4:'2. Dateneingabe'!AK4,1,'3. Ausgabe'!$E$2*2-1))</f>
        <v>Cent / kWh</v>
      </c>
      <c r="E6" s="130"/>
      <c r="F6" s="129">
        <f>IF(INDEX('2. Dateneingabe'!B4:'2. Dateneingabe'!AK4,1,'3. Ausgabe'!$H$3*2-1)=0,"",INDEX('2. Dateneingabe'!B4:'2. Dateneingabe'!AK4,1,'3. Ausgabe'!$H$3*2-1))</f>
        <v>15</v>
      </c>
      <c r="G6" s="182" t="str">
        <f>IF(INDEX('2. Dateneingabe'!B4:AK4,1,'3. Ausgabe'!$H$3*2)=0,"",INDEX('2. Dateneingabe'!B4:AK4,1,'3. Ausgabe'!$H$3*2))</f>
        <v>Cent / kWh</v>
      </c>
      <c r="I6" s="39"/>
      <c r="J6" s="39" t="s">
        <v>71</v>
      </c>
      <c r="K6" s="39"/>
      <c r="L6" s="131"/>
      <c r="M6" s="39"/>
      <c r="N6" s="39"/>
    </row>
    <row r="7" spans="1:14" ht="12.75">
      <c r="A7" s="83" t="s">
        <v>94</v>
      </c>
      <c r="B7" s="130"/>
      <c r="C7" s="134">
        <f>IF(INDEX('2. Dateneingabe'!B5:'2. Dateneingabe'!AJ5,1,'3. Ausgabe'!$E$2*2-1)=0,"",INDEX('2. Dateneingabe'!B5:'2. Dateneingabe'!AJ5,1,'3. Ausgabe'!$E$2*2-1))</f>
        <v>35</v>
      </c>
      <c r="D7" s="178" t="str">
        <f>IF(INDEX('2. Dateneingabe'!C5:'2. Dateneingabe'!AK5,1,'3. Ausgabe'!$E$2*2-1)=0,"",INDEX('2. Dateneingabe'!C5:'2. Dateneingabe'!AK5,1,'3. Ausgabe'!$E$2*2-1))</f>
        <v>%</v>
      </c>
      <c r="E7" s="130"/>
      <c r="F7" s="129">
        <f>IF(INDEX('2. Dateneingabe'!B5:'2. Dateneingabe'!AK5,1,'3. Ausgabe'!$H$3*2-1)=0,"",INDEX('2. Dateneingabe'!B5:'2. Dateneingabe'!AK5,1,'3. Ausgabe'!$H$3*2-1))</f>
        <v>35</v>
      </c>
      <c r="G7" s="182" t="str">
        <f>IF(INDEX('2. Dateneingabe'!B5:AK5,1,'3. Ausgabe'!$H$3*2)=0,"",INDEX('2. Dateneingabe'!B5:AK5,1,'3. Ausgabe'!$H$3*2))</f>
        <v>%</v>
      </c>
      <c r="I7" s="39"/>
      <c r="J7" s="39" t="s">
        <v>59</v>
      </c>
      <c r="K7" s="39"/>
      <c r="L7" s="39"/>
      <c r="M7" s="39"/>
      <c r="N7" s="39"/>
    </row>
    <row r="8" spans="1:14" ht="12.75">
      <c r="A8" s="245" t="s">
        <v>74</v>
      </c>
      <c r="B8" s="130"/>
      <c r="C8" s="134">
        <f>IF(INDEX('2. Dateneingabe'!B6:'2. Dateneingabe'!AJ6,1,'3. Ausgabe'!$E$2*2-1)=0,"",INDEX('2. Dateneingabe'!B6:'2. Dateneingabe'!AJ6,1,'3. Ausgabe'!$E$2*2-1))</f>
        <v>19.55</v>
      </c>
      <c r="D8" s="178" t="str">
        <f>IF(INDEX('2. Dateneingabe'!C6:'2. Dateneingabe'!AK6,1,'3. Ausgabe'!$E$2*2-1)=0,"",INDEX('2. Dateneingabe'!C6:'2. Dateneingabe'!AK6,1,'3. Ausgabe'!$E$2*2-1))</f>
        <v>Cent / kWh</v>
      </c>
      <c r="E8" s="130"/>
      <c r="F8" s="228">
        <f>IF(INDEX('2. Dateneingabe'!B6:'2. Dateneingabe'!AK6,1,'3. Ausgabe'!$H$3*2-1)=0,"",INDEX('2. Dateneingabe'!B6:'2. Dateneingabe'!AK6,1,'3. Ausgabe'!$H$3*2-1))</f>
        <v>19.55</v>
      </c>
      <c r="G8" s="182" t="str">
        <f>IF(INDEX('2. Dateneingabe'!B6:AK6,1,'3. Ausgabe'!$H$3*2)=0,"",INDEX('2. Dateneingabe'!B6:AK6,1,'3. Ausgabe'!$H$3*2))</f>
        <v>Cent / kWh</v>
      </c>
      <c r="I8" s="39"/>
      <c r="J8" s="132"/>
      <c r="K8" s="34" t="s">
        <v>60</v>
      </c>
      <c r="L8" s="39"/>
      <c r="M8" s="39"/>
      <c r="N8" s="39"/>
    </row>
    <row r="9" spans="1:14" ht="12.75">
      <c r="A9" s="286" t="s">
        <v>28</v>
      </c>
      <c r="B9" s="130"/>
      <c r="C9" s="134">
        <f>IF(INDEX('2. Dateneingabe'!B7:'2. Dateneingabe'!AJ7,1,'3. Ausgabe'!$E$2*2-1)=0,"",INDEX('2. Dateneingabe'!B7:'2. Dateneingabe'!AJ7,1,'3. Ausgabe'!$E$2*2-1))</f>
      </c>
      <c r="D9" s="178" t="str">
        <f>IF(INDEX('2. Dateneingabe'!C7:'2. Dateneingabe'!AK7,1,'3. Ausgabe'!$E$2*2-1)=0,"",INDEX('2. Dateneingabe'!C7:'2. Dateneingabe'!AK7,1,'3. Ausgabe'!$E$2*2-1))</f>
        <v>€ / Monat</v>
      </c>
      <c r="E9" s="130"/>
      <c r="F9" s="129">
        <f>IF(INDEX('2. Dateneingabe'!B7:'2. Dateneingabe'!AK7,1,'3. Ausgabe'!$H$3*2-1)=0,"",INDEX('2. Dateneingabe'!B7:'2. Dateneingabe'!AK7,1,'3. Ausgabe'!$H$3*2-1))</f>
      </c>
      <c r="G9" s="182" t="str">
        <f>IF(INDEX('2. Dateneingabe'!B7:AK7,1,'3. Ausgabe'!$H$3*2)=0,"",INDEX('2. Dateneingabe'!B7:AK7,1,'3. Ausgabe'!$H$3*2))</f>
        <v>€ / Monat</v>
      </c>
      <c r="I9" s="39"/>
      <c r="J9" s="133"/>
      <c r="K9" s="39" t="s">
        <v>61</v>
      </c>
      <c r="L9" s="39"/>
      <c r="M9" s="39"/>
      <c r="N9" s="39"/>
    </row>
    <row r="10" spans="1:14" ht="12.75">
      <c r="A10" s="251" t="s">
        <v>19</v>
      </c>
      <c r="B10" s="130"/>
      <c r="C10" s="134">
        <f>IF(INDEX('2. Dateneingabe'!B8:'2. Dateneingabe'!AJ8,1,'3. Ausgabe'!$E$2*2-1)=0,"",INDEX('2. Dateneingabe'!B8:'2. Dateneingabe'!AJ8,1,'3. Ausgabe'!$E$2*2-1))</f>
      </c>
      <c r="D10" s="178">
        <f>IF(INDEX('2. Dateneingabe'!C8:'2. Dateneingabe'!AK8,1,'3. Ausgabe'!$E$2*2-1)=0,"",INDEX('2. Dateneingabe'!C8:'2. Dateneingabe'!AK8,1,'3. Ausgabe'!$E$2*2-1))</f>
      </c>
      <c r="E10" s="130"/>
      <c r="F10" s="129">
        <f>IF(INDEX('2. Dateneingabe'!B8:'2. Dateneingabe'!AK8,1,'3. Ausgabe'!$H$3*2-1)=0,"",INDEX('2. Dateneingabe'!B8:'2. Dateneingabe'!AK8,1,'3. Ausgabe'!$H$3*2-1))</f>
      </c>
      <c r="G10" s="182">
        <f>IF(INDEX('2. Dateneingabe'!B8:AK8,1,'3. Ausgabe'!$H$3*2)=0,"",INDEX('2. Dateneingabe'!B8:AK8,1,'3. Ausgabe'!$H$3*2))</f>
      </c>
      <c r="I10" s="39"/>
      <c r="J10" s="224"/>
      <c r="K10" s="225" t="s">
        <v>111</v>
      </c>
      <c r="L10" s="39"/>
      <c r="M10" s="39"/>
      <c r="N10" s="39"/>
    </row>
    <row r="11" spans="1:14" ht="12.75">
      <c r="A11" s="251" t="s">
        <v>107</v>
      </c>
      <c r="B11" s="130"/>
      <c r="C11" s="134">
        <f>IF(INDEX('2. Dateneingabe'!B9:'2. Dateneingabe'!AJ9,1,'3. Ausgabe'!$E$2*2-1)=0,"",INDEX('2. Dateneingabe'!B9:'2. Dateneingabe'!AJ9,1,'3. Ausgabe'!$E$2*2-1))</f>
      </c>
      <c r="D11" s="178">
        <f>IF(INDEX('2. Dateneingabe'!C9:'2. Dateneingabe'!AK9,1,'3. Ausgabe'!$E$2*2-1)=0,"",INDEX('2. Dateneingabe'!C9:'2. Dateneingabe'!AK9,1,'3. Ausgabe'!$E$2*2-1))</f>
      </c>
      <c r="E11" s="130"/>
      <c r="F11" s="129">
        <f>IF(INDEX('2. Dateneingabe'!B9:'2. Dateneingabe'!AK9,1,'3. Ausgabe'!$H$3*2-1)=0,"",INDEX('2. Dateneingabe'!B9:'2. Dateneingabe'!AK9,1,'3. Ausgabe'!$H$3*2-1))</f>
      </c>
      <c r="G11" s="182">
        <f>IF(INDEX('2. Dateneingabe'!B9:AK9,1,'3. Ausgabe'!$H$3*2)=0,"",INDEX('2. Dateneingabe'!B9:AK9,1,'3. Ausgabe'!$H$3*2))</f>
      </c>
      <c r="I11" s="39"/>
      <c r="J11" s="194"/>
      <c r="K11" s="194"/>
      <c r="L11" s="39"/>
      <c r="M11" s="39"/>
      <c r="N11" s="39"/>
    </row>
    <row r="12" spans="1:14" ht="12.75">
      <c r="A12" s="287" t="s">
        <v>37</v>
      </c>
      <c r="B12" s="130"/>
      <c r="C12" s="134">
        <f>IF(INDEX('2. Dateneingabe'!B10:'2. Dateneingabe'!AJ10,1,'3. Ausgabe'!$E$2*2-1)=0,"",INDEX('2. Dateneingabe'!B10:'2. Dateneingabe'!AJ10,1,'3. Ausgabe'!$E$2*2-1))</f>
        <v>3.75</v>
      </c>
      <c r="D12" s="178" t="str">
        <f>IF(INDEX('2. Dateneingabe'!C10:'2. Dateneingabe'!AK10,1,'3. Ausgabe'!$E$2*2-1)=0,"",INDEX('2. Dateneingabe'!C10:'2. Dateneingabe'!AK10,1,'3. Ausgabe'!$E$2*2-1))</f>
        <v>JAZ</v>
      </c>
      <c r="E12" s="130"/>
      <c r="F12" s="129">
        <f>IF(INDEX('2. Dateneingabe'!B10:'2. Dateneingabe'!AK10,1,'3. Ausgabe'!$H$3*2-1)=0,"",INDEX('2. Dateneingabe'!B10:'2. Dateneingabe'!AK10,1,'3. Ausgabe'!$H$3*2-1))</f>
        <v>4.9</v>
      </c>
      <c r="G12" s="182" t="str">
        <f>IF(INDEX('2. Dateneingabe'!B10:AK10,1,'3. Ausgabe'!$H$3*2)=0,"",INDEX('2. Dateneingabe'!B10:AK10,1,'3. Ausgabe'!$H$3*2))</f>
        <v>JAZ</v>
      </c>
      <c r="I12" s="39"/>
      <c r="J12" s="188"/>
      <c r="K12" s="189" t="e">
        <f>C56-#REF!</f>
        <v>#REF!</v>
      </c>
      <c r="L12" s="39"/>
      <c r="M12" s="39"/>
      <c r="N12" s="39"/>
    </row>
    <row r="13" spans="1:14" ht="12.75">
      <c r="A13" s="288" t="s">
        <v>75</v>
      </c>
      <c r="B13" s="135"/>
      <c r="C13" s="134">
        <f>IF(INDEX('2. Dateneingabe'!B12:'2. Dateneingabe'!AJ12,1,'3. Ausgabe'!$E$2*2-1)=0,"",INDEX('2. Dateneingabe'!B12:'2. Dateneingabe'!AJ12,1,'3. Ausgabe'!$E$2*2-1))</f>
        <v>2</v>
      </c>
      <c r="D13" s="178" t="str">
        <f>IF(INDEX('2. Dateneingabe'!C12:'2. Dateneingabe'!AK12,1,'3. Ausgabe'!$E$2*2-1)=0,"",INDEX('2. Dateneingabe'!C12:'2. Dateneingabe'!AK12,1,'3. Ausgabe'!$E$2*2-1))</f>
        <v>% / a</v>
      </c>
      <c r="E13" s="135"/>
      <c r="F13" s="129">
        <f>IF(INDEX('2. Dateneingabe'!B12:'2. Dateneingabe'!AK12,1,'3. Ausgabe'!$H$3*2-1)=0,"",INDEX('2. Dateneingabe'!B12:'2. Dateneingabe'!AK12,1,'3. Ausgabe'!$H$3*2-1))</f>
        <v>2</v>
      </c>
      <c r="G13" s="182" t="str">
        <f>IF(INDEX('2. Dateneingabe'!B12:AK12,1,'3. Ausgabe'!$H$3*2)=0,"",INDEX('2. Dateneingabe'!B12:AK12,1,'3. Ausgabe'!$H$3*2))</f>
        <v>% / a</v>
      </c>
      <c r="I13" s="39"/>
      <c r="J13" s="188"/>
      <c r="K13" s="189" t="e">
        <f>F56-#REF!</f>
        <v>#REF!</v>
      </c>
      <c r="L13" s="39"/>
      <c r="M13" s="39"/>
      <c r="N13" s="39"/>
    </row>
    <row r="14" spans="1:14" ht="12.75">
      <c r="A14" s="238" t="s">
        <v>157</v>
      </c>
      <c r="B14" s="136"/>
      <c r="C14" s="185">
        <f>IF(INDEX('2. Dateneingabe'!B13:'2. Dateneingabe'!AJ13,1,'3. Ausgabe'!$E$2*2-1)=0,"",INDEX('2. Dateneingabe'!B13:'2. Dateneingabe'!AJ13,1,'3. Ausgabe'!$E$2*2-1))</f>
        <v>6807.795453272452</v>
      </c>
      <c r="D14" s="178" t="str">
        <f>IF(INDEX('2. Dateneingabe'!C13:'2. Dateneingabe'!AK13,1,'3. Ausgabe'!$E$2*2-1)=0,"",INDEX('2. Dateneingabe'!C13:'2. Dateneingabe'!AK13,1,'3. Ausgabe'!$E$2*2-1))</f>
        <v>kWh elektrisch / a</v>
      </c>
      <c r="E14" s="136"/>
      <c r="F14" s="197">
        <f>IF(INDEX('2. Dateneingabe'!B13:'2. Dateneingabe'!AK13,1,'3. Ausgabe'!$H$3*2-1)=0,"",INDEX('2. Dateneingabe'!B13:'2. Dateneingabe'!AK13,1,'3. Ausgabe'!$H$3*2-1))</f>
        <v>5210.047540769733</v>
      </c>
      <c r="G14" s="182" t="str">
        <f>IF(INDEX('2. Dateneingabe'!B13:AK13,1,'3. Ausgabe'!$H$3*2)=0,"",INDEX('2. Dateneingabe'!B13:AK13,1,'3. Ausgabe'!$H$3*2))</f>
        <v>kWh elektrisch / a</v>
      </c>
      <c r="I14" s="39"/>
      <c r="K14" s="50"/>
      <c r="L14" s="50"/>
      <c r="M14" s="50"/>
      <c r="N14" s="50"/>
    </row>
    <row r="15" spans="1:14" ht="12.75">
      <c r="A15" s="238" t="s">
        <v>180</v>
      </c>
      <c r="B15" s="136"/>
      <c r="C15" s="332">
        <f>IF(INDEX('2. Dateneingabe'!B14:'2. Dateneingabe'!AJ14,1,'3. Ausgabe'!$E$2*2-1)=0,"",INDEX('2. Dateneingabe'!B14:'2. Dateneingabe'!AJ14,1,'3. Ausgabe'!$E$2*2-1))</f>
        <v>1018.1818181818181</v>
      </c>
      <c r="D15" s="333" t="str">
        <f>IF(INDEX('2. Dateneingabe'!C14:'2. Dateneingabe'!AK14,1,'3. Ausgabe'!$E$2*2-1)=0,"",INDEX('2. Dateneingabe'!C14:'2. Dateneingabe'!AK14,1,'3. Ausgabe'!$E$2*2-1))</f>
        <v>kWh elektrisch / a</v>
      </c>
      <c r="E15" s="334"/>
      <c r="F15" s="332">
        <f>IF(INDEX('2. Dateneingabe'!B14:'2. Dateneingabe'!AK14,1,'3. Ausgabe'!$H$3*2-1)=0,"",INDEX('2. Dateneingabe'!B14:'2. Dateneingabe'!AK14,1,'3. Ausgabe'!$H$3*2-1))</f>
        <v>80</v>
      </c>
      <c r="G15" s="335" t="str">
        <f>IF(INDEX('2. Dateneingabe'!B14:AK14,1,'3. Ausgabe'!$H$3*2)=0,"",INDEX('2. Dateneingabe'!B14:AK14,1,'3. Ausgabe'!$H$3*2))</f>
        <v>kWh elektrisch / a</v>
      </c>
      <c r="I15" s="39"/>
      <c r="K15" s="50"/>
      <c r="L15" s="50"/>
      <c r="M15" s="50"/>
      <c r="N15" s="50"/>
    </row>
    <row r="16" spans="1:14" ht="12.75">
      <c r="A16" s="238"/>
      <c r="B16" s="136"/>
      <c r="C16" s="185">
        <f>IF(INDEX('2. Dateneingabe'!B15:'2. Dateneingabe'!AJ15,1,'3. Ausgabe'!$E$2*2-1)=0,"",INDEX('2. Dateneingabe'!B15:'2. Dateneingabe'!AJ15,1,'3. Ausgabe'!$E$2*2-1))</f>
      </c>
      <c r="D16" s="178">
        <f>IF(INDEX('2. Dateneingabe'!C15:'2. Dateneingabe'!AK15,1,'3. Ausgabe'!$E$2*2-1)=0,"",INDEX('2. Dateneingabe'!C15:'2. Dateneingabe'!AK15,1,'3. Ausgabe'!$E$2*2-1))</f>
      </c>
      <c r="E16" s="136"/>
      <c r="F16" s="197">
        <f>IF(INDEX('2. Dateneingabe'!B15:'2. Dateneingabe'!AK15,1,'3. Ausgabe'!$H$3*2-1)=0,"",INDEX('2. Dateneingabe'!B15:'2. Dateneingabe'!AK15,1,'3. Ausgabe'!$H$3*2-1))</f>
      </c>
      <c r="G16" s="182">
        <f>IF(INDEX('2. Dateneingabe'!B15:AK15,1,'3. Ausgabe'!$H$3*2)=0,"",INDEX('2. Dateneingabe'!B15:AK15,1,'3. Ausgabe'!$H$3*2))</f>
      </c>
      <c r="I16" s="39"/>
      <c r="K16" s="50"/>
      <c r="L16" s="50"/>
      <c r="M16" s="50"/>
      <c r="N16" s="50"/>
    </row>
    <row r="17" spans="1:14" ht="12.75">
      <c r="A17" s="240" t="s">
        <v>83</v>
      </c>
      <c r="B17" s="137"/>
      <c r="C17" s="185">
        <f>IF(INDEX('2. Dateneingabe'!B16:'2. Dateneingabe'!AJ16,1,'3. Ausgabe'!$E$2*2-1)=0,"",INDEX('2. Dateneingabe'!B16:'2. Dateneingabe'!AJ16,1,'3. Ausgabe'!$E$2*2-1))</f>
        <v>1529.9785565693098</v>
      </c>
      <c r="D17" s="178" t="str">
        <f>IF(INDEX('2. Dateneingabe'!C16:'2. Dateneingabe'!AK16,1,'3. Ausgabe'!$E$2*2-1)=0,"",INDEX('2. Dateneingabe'!C16:'2. Dateneingabe'!AK16,1,'3. Ausgabe'!$E$2*2-1))</f>
        <v>€ / a</v>
      </c>
      <c r="E17" s="137"/>
      <c r="F17" s="197">
        <f>IF(INDEX('2. Dateneingabe'!B16:'2. Dateneingabe'!AK16,1,'3. Ausgabe'!$H$3*2-1)=0,"",INDEX('2. Dateneingabe'!B16:'2. Dateneingabe'!AK16,1,'3. Ausgabe'!$H$3*2-1))</f>
        <v>1034.2042942204828</v>
      </c>
      <c r="G17" s="182" t="str">
        <f>IF(INDEX('2. Dateneingabe'!B16:AK16,1,'3. Ausgabe'!$H$3*2)=0,"",INDEX('2. Dateneingabe'!B16:AK16,1,'3. Ausgabe'!$H$3*2))</f>
        <v>€ / a</v>
      </c>
      <c r="I17" s="39"/>
      <c r="J17" s="187" t="s">
        <v>82</v>
      </c>
      <c r="K17" s="188"/>
      <c r="L17" s="188"/>
      <c r="M17" s="188"/>
      <c r="N17" s="188"/>
    </row>
    <row r="18" spans="1:14" ht="12.75">
      <c r="A18" s="240" t="s">
        <v>84</v>
      </c>
      <c r="B18" s="136"/>
      <c r="C18" s="185">
        <f>IF(INDEX('2. Dateneingabe'!B17:'2. Dateneingabe'!AJ17,1,'3. Ausgabe'!$E$2*2-1)=0,"",INDEX('2. Dateneingabe'!B17:'2. Dateneingabe'!AJ17,1,'3. Ausgabe'!$E$2*2-1))</f>
        <v>1529.9785565693098</v>
      </c>
      <c r="D18" s="178" t="str">
        <f>IF(INDEX('2. Dateneingabe'!C17:'2. Dateneingabe'!AK17,1,'3. Ausgabe'!$E$2*2-1)=0,"",INDEX('2. Dateneingabe'!C17:'2. Dateneingabe'!AK17,1,'3. Ausgabe'!$E$2*2-1))</f>
        <v>€ / a</v>
      </c>
      <c r="E18" s="136"/>
      <c r="F18" s="197">
        <f>IF(INDEX('2. Dateneingabe'!B17:'2. Dateneingabe'!AK17,1,'3. Ausgabe'!$H$3*2-1)=0,"",INDEX('2. Dateneingabe'!B17:'2. Dateneingabe'!AK17,1,'3. Ausgabe'!$H$3*2-1))</f>
        <v>1034.2042942204828</v>
      </c>
      <c r="G18" s="182" t="str">
        <f>IF(INDEX('2. Dateneingabe'!B17:AK17,1,'3. Ausgabe'!$H$3*2)=0,"",INDEX('2. Dateneingabe'!B17:AK17,1,'3. Ausgabe'!$H$3*2))</f>
        <v>€ / a</v>
      </c>
      <c r="I18" s="39"/>
      <c r="J18" s="188"/>
      <c r="K18" s="188"/>
      <c r="L18" s="188"/>
      <c r="M18" s="188"/>
      <c r="N18" s="188"/>
    </row>
    <row r="19" spans="1:14" ht="13.5" thickBot="1">
      <c r="A19" s="242" t="s">
        <v>85</v>
      </c>
      <c r="B19" s="138"/>
      <c r="C19" s="186">
        <f>IF(INDEX('2. Dateneingabe'!B18:'2. Dateneingabe'!AJ18,1,'3. Ausgabe'!$E$2*2-1)=0,"",INDEX('2. Dateneingabe'!B18:'2. Dateneingabe'!AJ18,1,'3. Ausgabe'!$E$2*2-1))</f>
        <v>2273.467652036887</v>
      </c>
      <c r="D19" s="180" t="str">
        <f>IF(INDEX('2. Dateneingabe'!C18:'2. Dateneingabe'!AK18,1,'3. Ausgabe'!$E$2*2-1)=0,"",INDEX('2. Dateneingabe'!C18:'2. Dateneingabe'!AK18,1,'3. Ausgabe'!$E$2*2-1))</f>
        <v>€ / a</v>
      </c>
      <c r="E19" s="138"/>
      <c r="F19" s="198">
        <f>IF(INDEX('2. Dateneingabe'!B18:'2. Dateneingabe'!AK18,1,'3. Ausgabe'!$H$3*2-1)=0,"",INDEX('2. Dateneingabe'!B18:'2. Dateneingabe'!AK18,1,'3. Ausgabe'!$H$3*2-1))</f>
        <v>1536.7731779065582</v>
      </c>
      <c r="G19" s="183" t="str">
        <f>IF(INDEX('2. Dateneingabe'!B18:AK18,1,'3. Ausgabe'!$H$3*2)=0,"",INDEX('2. Dateneingabe'!B18:AK18,1,'3. Ausgabe'!$H$3*2))</f>
        <v>€ / a</v>
      </c>
      <c r="I19" s="39"/>
      <c r="L19" s="190" t="s">
        <v>62</v>
      </c>
      <c r="M19" s="191" t="s">
        <v>63</v>
      </c>
      <c r="N19" s="190" t="str">
        <f>INDEX(EKost,E2,1)</f>
        <v>Luft/Wasser WATERKOTTE Wärmepumpe monovalent</v>
      </c>
    </row>
    <row r="20" spans="1:14" ht="12.75">
      <c r="A20" s="79" t="s">
        <v>31</v>
      </c>
      <c r="B20" s="128"/>
      <c r="C20" s="127"/>
      <c r="D20" s="181"/>
      <c r="E20" s="128"/>
      <c r="F20" s="196" t="str">
        <f>IF(INDEX('2. Dateneingabe'!B19:'2. Dateneingabe'!AK19,1,'3. Ausgabe'!$H$3*2-1)=0,"",INDEX('2. Dateneingabe'!B19:'2. Dateneingabe'!AK19,1,'3. Ausgabe'!$H$3*2-1))</f>
        <v>Strom extern</v>
      </c>
      <c r="G20" s="181">
        <f>IF(INDEX('2. Dateneingabe'!B19:AK19,1,'3. Ausgabe'!$H$3*2)=0,"",INDEX('2. Dateneingabe'!B19:AK19,1,'3. Ausgabe'!$H$3*2))</f>
      </c>
      <c r="I20" s="39"/>
      <c r="L20" s="190" t="s">
        <v>62</v>
      </c>
      <c r="M20" s="191" t="s">
        <v>63</v>
      </c>
      <c r="N20" s="190" t="str">
        <f>INDEX(EKost,H3,1)</f>
        <v>Sole/Wasser WATERKOTTE Wärmepumpe monovalent</v>
      </c>
    </row>
    <row r="21" spans="1:14" ht="12.75">
      <c r="A21" s="83" t="s">
        <v>34</v>
      </c>
      <c r="B21" s="130"/>
      <c r="C21" s="177">
        <f>IF(INDEX('2. Dateneingabe'!B23:'2. Dateneingabe'!AJ23,1,'3. Ausgabe'!$E$2*2-1)=0,"",INDEX('2. Dateneingabe'!B23:'2. Dateneingabe'!AJ23,1,'3. Ausgabe'!$E$2*2-1))</f>
      </c>
      <c r="D21" s="182">
        <f>IF(INDEX('2. Dateneingabe'!C23:'2. Dateneingabe'!AK23,1,'3. Ausgabe'!$E$2*2-1)=0,"",INDEX('2. Dateneingabe'!C23:'2. Dateneingabe'!AK23,1,'3. Ausgabe'!$E$2*2-1))</f>
      </c>
      <c r="E21" s="130"/>
      <c r="F21" s="192">
        <f>IF(INDEX('2. Dateneingabe'!B23:'2. Dateneingabe'!AK23,1,'3. Ausgabe'!$H$3*2-1)=0,"",INDEX('2. Dateneingabe'!B23:'2. Dateneingabe'!AK23,1,'3. Ausgabe'!$H$3*2-1))</f>
      </c>
      <c r="G21" s="182">
        <f>IF(INDEX('2. Dateneingabe'!B23:AK23,1,'3. Ausgabe'!$H$3*2)=0,"",INDEX('2. Dateneingabe'!B23:AK23,1,'3. Ausgabe'!$H$3*2))</f>
      </c>
      <c r="I21" s="39"/>
      <c r="J21" s="39"/>
      <c r="K21" s="39"/>
      <c r="L21" s="39"/>
      <c r="M21" s="39"/>
      <c r="N21" s="39"/>
    </row>
    <row r="22" spans="1:14" ht="13.5" thickBot="1">
      <c r="A22" s="83" t="s">
        <v>30</v>
      </c>
      <c r="B22" s="130"/>
      <c r="C22" s="177">
        <f>IF(INDEX('2. Dateneingabe'!B24:'2. Dateneingabe'!AJ24,1,'3. Ausgabe'!$E$2*2-1)=0,"",INDEX('2. Dateneingabe'!B24:'2. Dateneingabe'!AJ24,1,'3. Ausgabe'!$E$2*2-1))</f>
      </c>
      <c r="D22" s="182">
        <f>IF(INDEX('2. Dateneingabe'!C24:'2. Dateneingabe'!AK24,1,'3. Ausgabe'!$E$2*2-1)=0,"",INDEX('2. Dateneingabe'!C24:'2. Dateneingabe'!AK24,1,'3. Ausgabe'!$E$2*2-1))</f>
      </c>
      <c r="E22" s="130"/>
      <c r="F22" s="192">
        <f>IF(INDEX('2. Dateneingabe'!B24:'2. Dateneingabe'!AK24,1,'3. Ausgabe'!$H$3*2-1)=0,"",INDEX('2. Dateneingabe'!B24:'2. Dateneingabe'!AK24,1,'3. Ausgabe'!$H$3*2-1))</f>
      </c>
      <c r="G22" s="182">
        <f>IF(INDEX('2. Dateneingabe'!B24:AK24,1,'3. Ausgabe'!$H$3*2)=0,"",INDEX('2. Dateneingabe'!B24:AK24,1,'3. Ausgabe'!$H$3*2))</f>
      </c>
      <c r="I22" s="39"/>
      <c r="J22" s="39"/>
      <c r="K22" s="39"/>
      <c r="L22" s="39"/>
      <c r="M22" s="39"/>
      <c r="N22" s="39"/>
    </row>
    <row r="23" spans="1:14" ht="13.5" thickBot="1">
      <c r="A23" s="289" t="s">
        <v>26</v>
      </c>
      <c r="B23" s="139"/>
      <c r="C23" s="184">
        <f>IF(INDEX('2. Dateneingabe'!B25:'2. Dateneingabe'!AJ25,1,'3. Ausgabe'!$E$2*2-1)=0,"",INDEX('2. Dateneingabe'!B25:'2. Dateneingabe'!AJ25,1,'3. Ausgabe'!$E$2*2-1))</f>
        <v>17500</v>
      </c>
      <c r="D23" s="181" t="str">
        <f>IF(INDEX('2. Dateneingabe'!C25:'2. Dateneingabe'!AK25,1,'3. Ausgabe'!$E$2*2-1)=0,"",INDEX('2. Dateneingabe'!C25:'2. Dateneingabe'!AK25,1,'3. Ausgabe'!$E$2*2-1))</f>
        <v>€</v>
      </c>
      <c r="E23" s="139"/>
      <c r="F23" s="140">
        <f>IF(INDEX('2. Dateneingabe'!B25:'2. Dateneingabe'!AK25,1,'3. Ausgabe'!$H$3*2-1)=0,"",INDEX('2. Dateneingabe'!B25:'2. Dateneingabe'!AK25,1,'3. Ausgabe'!$H$3*2-1))</f>
        <v>33500</v>
      </c>
      <c r="G23" s="181" t="str">
        <f>IF(INDEX('2. Dateneingabe'!B25:AK25,1,'3. Ausgabe'!$H$3*2)=0,"",INDEX('2. Dateneingabe'!B25:AK25,1,'3. Ausgabe'!$H$3*2))</f>
        <v>€</v>
      </c>
      <c r="I23" s="39"/>
      <c r="J23" s="39"/>
      <c r="K23" s="39"/>
      <c r="L23" s="39"/>
      <c r="M23" s="39"/>
      <c r="N23" s="39"/>
    </row>
    <row r="24" spans="1:14" ht="13.5" thickBot="1">
      <c r="A24" s="91" t="s">
        <v>81</v>
      </c>
      <c r="B24" s="139"/>
      <c r="C24" s="134">
        <f>IF(INDEX('2. Dateneingabe'!B26:'2. Dateneingabe'!AJ26,1,'3. Ausgabe'!$E$2*2-1)=0,"",INDEX('2. Dateneingabe'!B26:'2. Dateneingabe'!AJ26,1,'3. Ausgabe'!$E$2*2-1))</f>
      </c>
      <c r="D24" s="182" t="str">
        <f>IF(INDEX('2. Dateneingabe'!C26:'2. Dateneingabe'!AK26,1,'3. Ausgabe'!$E$2*2-1)=0,"",INDEX('2. Dateneingabe'!C26:'2. Dateneingabe'!AK26,1,'3. Ausgabe'!$E$2*2-1))</f>
        <v>€</v>
      </c>
      <c r="E24" s="139"/>
      <c r="F24" s="129">
        <f>IF(INDEX('2. Dateneingabe'!B26:'2. Dateneingabe'!AK26,1,'3. Ausgabe'!$H$3*2-1)=0,"",INDEX('2. Dateneingabe'!B26:'2. Dateneingabe'!AK26,1,'3. Ausgabe'!$H$3*2-1))</f>
        <v>4500</v>
      </c>
      <c r="G24" s="182" t="str">
        <f>IF(INDEX('2. Dateneingabe'!B26:AK26,1,'3. Ausgabe'!$H$3*2)=0,"",INDEX('2. Dateneingabe'!B26:AK26,1,'3. Ausgabe'!$H$3*2))</f>
        <v>€</v>
      </c>
      <c r="I24" s="39"/>
      <c r="J24" s="39"/>
      <c r="K24" s="39"/>
      <c r="L24" s="39"/>
      <c r="M24" s="39"/>
      <c r="N24" s="39"/>
    </row>
    <row r="25" spans="1:14" ht="13.5" thickBot="1">
      <c r="A25" s="91" t="s">
        <v>80</v>
      </c>
      <c r="B25" s="139"/>
      <c r="C25" s="134">
        <f>IF(INDEX('2. Dateneingabe'!B27:'2. Dateneingabe'!AJ27,1,'3. Ausgabe'!$E$2*2-1)=0,"",INDEX('2. Dateneingabe'!B27:'2. Dateneingabe'!AJ27,1,'3. Ausgabe'!$E$2*2-1))</f>
      </c>
      <c r="D25" s="182" t="str">
        <f>IF(INDEX('2. Dateneingabe'!C27:'2. Dateneingabe'!AK27,1,'3. Ausgabe'!$E$2*2-1)=0,"",INDEX('2. Dateneingabe'!C27:'2. Dateneingabe'!AK27,1,'3. Ausgabe'!$E$2*2-1))</f>
        <v>€</v>
      </c>
      <c r="E25" s="139"/>
      <c r="F25" s="129">
        <f>IF(INDEX('2. Dateneingabe'!B27:'2. Dateneingabe'!AK27,1,'3. Ausgabe'!$H$3*2-1)=0,"",INDEX('2. Dateneingabe'!B27:'2. Dateneingabe'!AK27,1,'3. Ausgabe'!$H$3*2-1))</f>
        <v>500</v>
      </c>
      <c r="G25" s="182" t="str">
        <f>IF(INDEX('2. Dateneingabe'!B27:AK27,1,'3. Ausgabe'!$H$3*2)=0,"",INDEX('2. Dateneingabe'!B27:AK27,1,'3. Ausgabe'!$H$3*2))</f>
        <v>€</v>
      </c>
      <c r="I25" s="39"/>
      <c r="J25" s="39"/>
      <c r="K25" s="39"/>
      <c r="L25" s="39"/>
      <c r="M25" s="39"/>
      <c r="N25" s="39"/>
    </row>
    <row r="26" spans="1:14" ht="12.75">
      <c r="A26" s="99" t="s">
        <v>65</v>
      </c>
      <c r="B26" s="135"/>
      <c r="C26" s="134">
        <f>IF(INDEX('2. Dateneingabe'!B28:'2. Dateneingabe'!AJ28,1,'3. Ausgabe'!$E$2*2-1)=0,"",INDEX('2. Dateneingabe'!B28:'2. Dateneingabe'!AJ28,1,'3. Ausgabe'!$E$2*2-1))</f>
        <v>17500</v>
      </c>
      <c r="D26" s="182" t="str">
        <f>IF(INDEX('2. Dateneingabe'!C28:'2. Dateneingabe'!AK28,1,'3. Ausgabe'!$E$2*2-1)=0,"",INDEX('2. Dateneingabe'!C28:'2. Dateneingabe'!AK28,1,'3. Ausgabe'!$E$2*2-1))</f>
        <v>€</v>
      </c>
      <c r="E26" s="135"/>
      <c r="F26" s="129">
        <f>IF(INDEX('2. Dateneingabe'!B28:'2. Dateneingabe'!AK28,1,'3. Ausgabe'!$H$3*2-1)=0,"",INDEX('2. Dateneingabe'!B28:'2. Dateneingabe'!AK28,1,'3. Ausgabe'!$H$3*2-1))</f>
        <v>28500</v>
      </c>
      <c r="G26" s="182" t="str">
        <f>IF(INDEX('2. Dateneingabe'!B28:AK28,1,'3. Ausgabe'!$H$3*2)=0,"",INDEX('2. Dateneingabe'!B28:AK28,1,'3. Ausgabe'!$H$3*2))</f>
        <v>€</v>
      </c>
      <c r="I26" s="39"/>
      <c r="J26" s="39"/>
      <c r="K26" s="39"/>
      <c r="L26" s="39"/>
      <c r="M26" s="39"/>
      <c r="N26" s="39"/>
    </row>
    <row r="27" spans="1:14" ht="13.5" thickBot="1">
      <c r="A27" s="99" t="s">
        <v>92</v>
      </c>
      <c r="B27" s="135"/>
      <c r="C27" s="221">
        <f>IF(INDEX('2. Dateneingabe'!B29:'2. Dateneingabe'!AJ29,1,'3. Ausgabe'!$E$2*2-1)=0,"",INDEX('2. Dateneingabe'!B29:'2. Dateneingabe'!AJ29,1,'3. Ausgabe'!$E$2*2-1))</f>
        <v>50</v>
      </c>
      <c r="D27" s="183" t="str">
        <f>IF(INDEX('2. Dateneingabe'!C29:'2. Dateneingabe'!AK29,1,'3. Ausgabe'!$E$2*2-1)=0,"",INDEX('2. Dateneingabe'!C29:'2. Dateneingabe'!AK29,1,'3. Ausgabe'!$E$2*2-1))</f>
        <v>%</v>
      </c>
      <c r="E27" s="135"/>
      <c r="F27" s="222">
        <f>IF(INDEX('2. Dateneingabe'!B29:'2. Dateneingabe'!AK29,1,'3. Ausgabe'!$H$3*2-1)=0,"",INDEX('2. Dateneingabe'!B29:'2. Dateneingabe'!AK29,1,'3. Ausgabe'!$H$3*2-1))</f>
        <v>30</v>
      </c>
      <c r="G27" s="183" t="str">
        <f>IF(INDEX('2. Dateneingabe'!B29:AK29,1,'3. Ausgabe'!$H$3*2)=0,"",INDEX('2. Dateneingabe'!B29:AK29,1,'3. Ausgabe'!$H$3*2))</f>
        <v>%</v>
      </c>
      <c r="I27" s="39"/>
      <c r="J27" s="39"/>
      <c r="K27" s="39"/>
      <c r="L27" s="39"/>
      <c r="M27" s="39"/>
      <c r="N27" s="39"/>
    </row>
    <row r="28" spans="1:14" ht="13.5" thickBot="1">
      <c r="A28" s="289" t="s">
        <v>66</v>
      </c>
      <c r="B28" s="141"/>
      <c r="C28" s="220"/>
      <c r="D28" s="182">
        <f>IF(INDEX('2. Dateneingabe'!C30:'2. Dateneingabe'!AK30,1,'3. Ausgabe'!$E$2*2-1)=0,"",INDEX('2. Dateneingabe'!C30:'2. Dateneingabe'!AK30,1,'3. Ausgabe'!$E$2*2-1))</f>
      </c>
      <c r="E28" s="141"/>
      <c r="F28" s="195">
        <f>IF(INDEX('2. Dateneingabe'!B30:'2. Dateneingabe'!AK30,1,'3. Ausgabe'!$H$3*2-1)=0,"",INDEX('2. Dateneingabe'!B30:'2. Dateneingabe'!AK30,1,'3. Ausgabe'!$H$3*2-1))</f>
      </c>
      <c r="G28" s="182">
        <f>IF(INDEX('2. Dateneingabe'!B30:AK30,1,'3. Ausgabe'!$H$3*2)=0,"",INDEX('2. Dateneingabe'!B30:AK30,1,'3. Ausgabe'!$H$3*2))</f>
      </c>
      <c r="I28" s="39"/>
      <c r="J28" s="39"/>
      <c r="K28" s="39"/>
      <c r="L28" s="39"/>
      <c r="M28" s="39"/>
      <c r="N28" s="39"/>
    </row>
    <row r="29" spans="1:14" ht="13.5" thickBot="1">
      <c r="A29" s="240" t="s">
        <v>29</v>
      </c>
      <c r="B29" s="142"/>
      <c r="C29" s="134">
        <f>IF(INDEX('2. Dateneingabe'!B31:'2. Dateneingabe'!AJ31,1,'3. Ausgabe'!$E$2*2-1)=0,"",INDEX('2. Dateneingabe'!B31:'2. Dateneingabe'!AJ31,1,'3. Ausgabe'!$E$2*2-1))</f>
        <v>250</v>
      </c>
      <c r="D29" s="182" t="str">
        <f>IF(INDEX('2. Dateneingabe'!C31:'2. Dateneingabe'!AK31,1,'3. Ausgabe'!$E$2*2-1)=0,"",INDEX('2. Dateneingabe'!C31:'2. Dateneingabe'!AK31,1,'3. Ausgabe'!$E$2*2-1))</f>
        <v>€ / a</v>
      </c>
      <c r="E29" s="142"/>
      <c r="F29" s="129">
        <f>IF(INDEX('2. Dateneingabe'!B31:'2. Dateneingabe'!AK31,1,'3. Ausgabe'!$H$3*2-1)=0,"",INDEX('2. Dateneingabe'!B31:'2. Dateneingabe'!AK31,1,'3. Ausgabe'!$H$3*2-1))</f>
        <v>250</v>
      </c>
      <c r="G29" s="182" t="str">
        <f>IF(INDEX('2. Dateneingabe'!B31:AK31,1,'3. Ausgabe'!$H$3*2)=0,"",INDEX('2. Dateneingabe'!B31:AK31,1,'3. Ausgabe'!$H$3*2))</f>
        <v>€ / a</v>
      </c>
      <c r="I29" s="39"/>
      <c r="J29" s="39"/>
      <c r="K29" s="39"/>
      <c r="L29" s="39"/>
      <c r="M29" s="39"/>
      <c r="N29" s="39"/>
    </row>
    <row r="30" spans="1:14" ht="23.25" thickBot="1">
      <c r="A30" s="290" t="s">
        <v>33</v>
      </c>
      <c r="B30" s="139"/>
      <c r="C30" s="177">
        <f>IF(INDEX('2. Dateneingabe'!B34:'2. Dateneingabe'!AJ34,1,'3. Ausgabe'!$E$2*2-1)=0,"",INDEX('2. Dateneingabe'!B34:'2. Dateneingabe'!AJ34,1,'3. Ausgabe'!$E$2*2-1))</f>
        <v>1.5</v>
      </c>
      <c r="D30" s="182" t="str">
        <f>IF(INDEX('2. Dateneingabe'!C34:'2. Dateneingabe'!AK34,1,'3. Ausgabe'!$E$2*2-1)=0,"",INDEX('2. Dateneingabe'!C34:'2. Dateneingabe'!AK34,1,'3. Ausgabe'!$E$2*2-1))</f>
        <v>% / a</v>
      </c>
      <c r="E30" s="139"/>
      <c r="F30" s="192">
        <f>IF(INDEX('2. Dateneingabe'!B34:'2. Dateneingabe'!AK34,1,'3. Ausgabe'!$H$3*2-1)=0,"",INDEX('2. Dateneingabe'!B34:'2. Dateneingabe'!AK34,1,'3. Ausgabe'!$H$3*2-1))</f>
        <v>1.5</v>
      </c>
      <c r="G30" s="182" t="str">
        <f>IF(INDEX('2. Dateneingabe'!B34:AK34,1,'3. Ausgabe'!$H$3*2)=0,"",INDEX('2. Dateneingabe'!B34:AK34,1,'3. Ausgabe'!$H$3*2))</f>
        <v>% / a</v>
      </c>
      <c r="I30" s="39"/>
      <c r="J30" s="39"/>
      <c r="K30" s="39"/>
      <c r="L30" s="39"/>
      <c r="M30" s="39"/>
      <c r="N30" s="39"/>
    </row>
    <row r="31" spans="1:14" ht="13.5" thickBot="1">
      <c r="A31" s="291" t="s">
        <v>7</v>
      </c>
      <c r="B31" s="139"/>
      <c r="C31" s="179">
        <f>IF(INDEX('2. Dateneingabe'!B35:'2. Dateneingabe'!AJ35,1,'3. Ausgabe'!$E$2*2-1)=0,"",INDEX('2. Dateneingabe'!B35:'2. Dateneingabe'!AJ35,1,'3. Ausgabe'!$E$2*2-1))</f>
        <v>1</v>
      </c>
      <c r="D31" s="183" t="str">
        <f>IF(INDEX('2. Dateneingabe'!C35:'2. Dateneingabe'!AK35,1,'3. Ausgabe'!$E$2*2-1)=0,"",INDEX('2. Dateneingabe'!C35:'2. Dateneingabe'!AK35,1,'3. Ausgabe'!$E$2*2-1))</f>
        <v>% / a</v>
      </c>
      <c r="E31" s="139"/>
      <c r="F31" s="193">
        <f>IF(INDEX('2. Dateneingabe'!B35:'2. Dateneingabe'!AK35,1,'3. Ausgabe'!$H$3*2-1)=0,"",INDEX('2. Dateneingabe'!B35:'2. Dateneingabe'!AK35,1,'3. Ausgabe'!$H$3*2-1))</f>
        <v>1</v>
      </c>
      <c r="G31" s="183" t="str">
        <f>IF(INDEX('2. Dateneingabe'!B35:AK35,1,'3. Ausgabe'!$H$3*2)=0,"",INDEX('2. Dateneingabe'!B35:AK35,1,'3. Ausgabe'!$H$3*2))</f>
        <v>% / a</v>
      </c>
      <c r="I31" s="39"/>
      <c r="J31" s="39"/>
      <c r="K31" s="39"/>
      <c r="L31" s="39"/>
      <c r="M31" s="39"/>
      <c r="N31" s="39"/>
    </row>
    <row r="32" spans="1:14" ht="12.75">
      <c r="A32" s="79" t="s">
        <v>36</v>
      </c>
      <c r="B32" s="161"/>
      <c r="C32" s="160"/>
      <c r="D32" s="157"/>
      <c r="E32" s="161"/>
      <c r="F32" s="196">
        <f>IF(INDEX('2. Dateneingabe'!B36:'2. Dateneingabe'!AK36,1,'3. Ausgabe'!$H$3*2-1)=0,"",INDEX('2. Dateneingabe'!B36:'2. Dateneingabe'!AK36,1,'3. Ausgabe'!$H$3*2-1))</f>
      </c>
      <c r="G32" s="181">
        <f>IF(INDEX('2. Dateneingabe'!B36:AK36,1,'3. Ausgabe'!$H$3*2)=0,"",INDEX('2. Dateneingabe'!B36:AK36,1,'3. Ausgabe'!$H$3*2))</f>
      </c>
      <c r="I32" s="39"/>
      <c r="J32" s="39"/>
      <c r="K32" s="39"/>
      <c r="L32" s="39"/>
      <c r="M32" s="39"/>
      <c r="N32" s="39"/>
    </row>
    <row r="33" spans="1:14" ht="12.75">
      <c r="A33" s="251" t="s">
        <v>32</v>
      </c>
      <c r="B33" s="37"/>
      <c r="C33" s="160"/>
      <c r="D33" s="157"/>
      <c r="E33" s="37"/>
      <c r="F33" s="195">
        <f>IF(INDEX('2. Dateneingabe'!B37:'2. Dateneingabe'!AK37,1,'3. Ausgabe'!$H$3*2-1)=0,"",INDEX('2. Dateneingabe'!B37:'2. Dateneingabe'!AK37,1,'3. Ausgabe'!$H$3*2-1))</f>
      </c>
      <c r="G33" s="182">
        <f>IF(INDEX('2. Dateneingabe'!B37:AK37,1,'3. Ausgabe'!$H$3*2)=0,"",INDEX('2. Dateneingabe'!B37:AK37,1,'3. Ausgabe'!$H$3*2))</f>
      </c>
      <c r="I33" s="39"/>
      <c r="J33" s="39"/>
      <c r="K33" s="39"/>
      <c r="L33" s="39"/>
      <c r="M33" s="39"/>
      <c r="N33" s="39"/>
    </row>
    <row r="34" spans="1:14" ht="11.25" customHeight="1">
      <c r="A34" s="292">
        <v>1</v>
      </c>
      <c r="B34" s="143" t="e">
        <f>IF(#REF!=MIN(#REF!,$C34,$F34),$A34,"")</f>
        <v>#REF!</v>
      </c>
      <c r="C34" s="185">
        <f>IF(INDEX('2. Dateneingabe'!B38:'2. Dateneingabe'!AJ38,1,'3. Ausgabe'!$E$2*2-1)=0,"",INDEX('2. Dateneingabe'!B38:'2. Dateneingabe'!AJ38,1,'3. Ausgabe'!$E$2*2-1))</f>
        <v>19288.280055841617</v>
      </c>
      <c r="D34" s="182" t="str">
        <f>IF(INDEX('2. Dateneingabe'!C38:'2. Dateneingabe'!AK38,1,'3. Ausgabe'!$E$2*2-1)=0,"",INDEX('2. Dateneingabe'!C38:'2. Dateneingabe'!AK38,1,'3. Ausgabe'!$E$2*2-1))</f>
        <v>€</v>
      </c>
      <c r="E34" s="143" t="e">
        <f>IF(C34=MIN(#REF!,$C34,$F34),$A34,"")</f>
        <v>#REF!</v>
      </c>
      <c r="F34" s="197">
        <f>IF(INDEX('2. Dateneingabe'!B38:'2. Dateneingabe'!AK38,1,'3. Ausgabe'!$H$3*2-1)=0,"",INDEX('2. Dateneingabe'!B38:'2. Dateneingabe'!AK38,1,'3. Ausgabe'!$H$3*2-1))</f>
        <v>29790.018638578033</v>
      </c>
      <c r="G34" s="182" t="str">
        <f>IF(INDEX('2. Dateneingabe'!B38:AK38,1,'3. Ausgabe'!$H$3*2)=0,"",INDEX('2. Dateneingabe'!B38:AK38,1,'3. Ausgabe'!$H$3*2))</f>
        <v>€</v>
      </c>
      <c r="H34" s="144" t="e">
        <f>IF(F34=MIN(#REF!,$C34,$F34),$A34,"")</f>
        <v>#REF!</v>
      </c>
      <c r="I34" s="162"/>
      <c r="J34" s="39"/>
      <c r="K34" s="39"/>
      <c r="L34" s="39"/>
      <c r="M34" s="39"/>
      <c r="N34" s="39"/>
    </row>
    <row r="35" spans="1:14" ht="11.25" customHeight="1">
      <c r="A35" s="292">
        <v>2</v>
      </c>
      <c r="B35" s="143" t="e">
        <f>IF(#REF!=MIN(#REF!,$C35,$F35),$A35,"")</f>
        <v>#REF!</v>
      </c>
      <c r="C35" s="185">
        <f>IF(INDEX('2. Dateneingabe'!B39:'2. Dateneingabe'!AJ39,1,'3. Ausgabe'!$E$2*2-1)=0,"",INDEX('2. Dateneingabe'!B39:'2. Dateneingabe'!AJ39,1,'3. Ausgabe'!$E$2*2-1))</f>
        <v>21093.27005969856</v>
      </c>
      <c r="D35" s="182" t="str">
        <f>IF(INDEX('2. Dateneingabe'!C39:'2. Dateneingabe'!AK39,1,'3. Ausgabe'!$E$2*2-1)=0,"",INDEX('2. Dateneingabe'!C39:'2. Dateneingabe'!AK39,1,'3. Ausgabe'!$E$2*2-1))</f>
        <v>€</v>
      </c>
      <c r="E35" s="143" t="e">
        <f>IF(C35=MIN(#REF!,$C35,$F35),$A35,"")</f>
        <v>#REF!</v>
      </c>
      <c r="F35" s="197">
        <f>IF(INDEX('2. Dateneingabe'!B39:'2. Dateneingabe'!AK39,1,'3. Ausgabe'!$H$3*2-1)=0,"",INDEX('2. Dateneingabe'!B39:'2. Dateneingabe'!AK39,1,'3. Ausgabe'!$H$3*2-1))</f>
        <v>31091.73961467629</v>
      </c>
      <c r="G35" s="182" t="str">
        <f>IF(INDEX('2. Dateneingabe'!B39:AK39,1,'3. Ausgabe'!$H$3*2)=0,"",INDEX('2. Dateneingabe'!B39:AK39,1,'3. Ausgabe'!$H$3*2))</f>
        <v>€</v>
      </c>
      <c r="H35" s="144" t="e">
        <f>IF(F35=MIN(#REF!,$C35,$F35),$A35,"")</f>
        <v>#REF!</v>
      </c>
      <c r="I35" s="162"/>
      <c r="J35" s="39"/>
      <c r="K35" s="39"/>
      <c r="L35" s="39"/>
      <c r="M35" s="39"/>
      <c r="N35" s="39"/>
    </row>
    <row r="36" spans="1:14" ht="11.25" customHeight="1">
      <c r="A36" s="292">
        <v>3</v>
      </c>
      <c r="B36" s="143" t="e">
        <f>IF(#REF!=MIN(#REF!,$C36,$F36),$A36,"")</f>
        <v>#REF!</v>
      </c>
      <c r="C36" s="185">
        <f>IF(INDEX('2. Dateneingabe'!B40:'2. Dateneingabe'!AJ40,1,'3. Ausgabe'!$E$2*2-1)=0,"",INDEX('2. Dateneingabe'!B40:'2. Dateneingabe'!AJ40,1,'3. Ausgabe'!$E$2*2-1))</f>
        <v>22915.131620705233</v>
      </c>
      <c r="D36" s="182" t="str">
        <f>IF(INDEX('2. Dateneingabe'!C40:'2. Dateneingabe'!AK40,1,'3. Ausgabe'!$E$2*2-1)=0,"",INDEX('2. Dateneingabe'!C40:'2. Dateneingabe'!AK40,1,'3. Ausgabe'!$E$2*2-1))</f>
        <v>€</v>
      </c>
      <c r="E36" s="143" t="e">
        <f>IF(C36=MIN(#REF!,$C36,$F36),$A36,"")</f>
        <v>#REF!</v>
      </c>
      <c r="F36" s="197">
        <f>IF(INDEX('2. Dateneingabe'!B40:'2. Dateneingabe'!AK40,1,'3. Ausgabe'!$H$3*2-1)=0,"",INDEX('2. Dateneingabe'!B40:'2. Dateneingabe'!AK40,1,'3. Ausgabe'!$H$3*2-1))</f>
        <v>32405.274210107018</v>
      </c>
      <c r="G36" s="182" t="str">
        <f>IF(INDEX('2. Dateneingabe'!B40:AK40,1,'3. Ausgabe'!$H$3*2)=0,"",INDEX('2. Dateneingabe'!B40:AK40,1,'3. Ausgabe'!$H$3*2))</f>
        <v>€</v>
      </c>
      <c r="H36" s="144" t="e">
        <f>IF(F36=MIN(#REF!,$C36,$F36),$A36,"")</f>
        <v>#REF!</v>
      </c>
      <c r="I36" s="162"/>
      <c r="J36" s="39"/>
      <c r="K36" s="39"/>
      <c r="L36" s="39"/>
      <c r="M36" s="39"/>
      <c r="N36" s="39"/>
    </row>
    <row r="37" spans="1:14" ht="11.25" customHeight="1">
      <c r="A37" s="292">
        <v>4</v>
      </c>
      <c r="B37" s="143" t="e">
        <f>IF(#REF!=MIN(#REF!,$C37,$F37),$A37,"")</f>
        <v>#REF!</v>
      </c>
      <c r="C37" s="185">
        <f>IF(INDEX('2. Dateneingabe'!B41:'2. Dateneingabe'!AJ41,1,'3. Ausgabe'!$E$2*2-1)=0,"",INDEX('2. Dateneingabe'!B41:'2. Dateneingabe'!AJ41,1,'3. Ausgabe'!$E$2*2-1))</f>
        <v>24754.027940472406</v>
      </c>
      <c r="D37" s="182" t="str">
        <f>IF(INDEX('2. Dateneingabe'!C41:'2. Dateneingabe'!AK41,1,'3. Ausgabe'!$E$2*2-1)=0,"",INDEX('2. Dateneingabe'!C41:'2. Dateneingabe'!AK41,1,'3. Ausgabe'!$E$2*2-1))</f>
        <v>€</v>
      </c>
      <c r="E37" s="143" t="e">
        <f>IF(C37=MIN(#REF!,$C37,$F37),$A37,"")</f>
        <v>#REF!</v>
      </c>
      <c r="F37" s="197">
        <f>IF(INDEX('2. Dateneingabe'!B41:'2. Dateneingabe'!AK41,1,'3. Ausgabe'!$H$3*2-1)=0,"",INDEX('2. Dateneingabe'!B41:'2. Dateneingabe'!AK41,1,'3. Ausgabe'!$H$3*2-1))</f>
        <v>33730.734793360825</v>
      </c>
      <c r="G37" s="182" t="str">
        <f>IF(INDEX('2. Dateneingabe'!B41:AK41,1,'3. Ausgabe'!$H$3*2)=0,"",INDEX('2. Dateneingabe'!B41:AK41,1,'3. Ausgabe'!$H$3*2))</f>
        <v>€</v>
      </c>
      <c r="H37" s="144" t="e">
        <f>IF(F37=MIN(#REF!,$C37,$F37),$A37,"")</f>
        <v>#REF!</v>
      </c>
      <c r="I37" s="162"/>
      <c r="J37" s="39"/>
      <c r="K37" s="39"/>
      <c r="L37" s="39"/>
      <c r="M37" s="39"/>
      <c r="N37" s="39"/>
    </row>
    <row r="38" spans="1:14" ht="11.25" customHeight="1">
      <c r="A38" s="292">
        <v>5</v>
      </c>
      <c r="B38" s="143" t="e">
        <f>IF(#REF!=MIN(#REF!,$C38,$F38),$A38,"")</f>
        <v>#REF!</v>
      </c>
      <c r="C38" s="185">
        <f>IF(INDEX('2. Dateneingabe'!B42:'2. Dateneingabe'!AJ42,1,'3. Ausgabe'!$E$2*2-1)=0,"",INDEX('2. Dateneingabe'!B42:'2. Dateneingabe'!AJ42,1,'3. Ausgabe'!$E$2*2-1))</f>
        <v>26610.123828932978</v>
      </c>
      <c r="D38" s="182" t="str">
        <f>IF(INDEX('2. Dateneingabe'!C42:'2. Dateneingabe'!AK42,1,'3. Ausgabe'!$E$2*2-1)=0,"",INDEX('2. Dateneingabe'!C42:'2. Dateneingabe'!AK42,1,'3. Ausgabe'!$E$2*2-1))</f>
        <v>€</v>
      </c>
      <c r="E38" s="143" t="e">
        <f>IF(C38=MIN(#REF!,$C38,$F38),$A38,"")</f>
        <v>#REF!</v>
      </c>
      <c r="F38" s="197">
        <f>IF(INDEX('2. Dateneingabe'!B42:'2. Dateneingabe'!AK42,1,'3. Ausgabe'!$H$3*2-1)=0,"",INDEX('2. Dateneingabe'!B42:'2. Dateneingabe'!AK42,1,'3. Ausgabe'!$H$3*2-1))</f>
        <v>35068.23483036908</v>
      </c>
      <c r="G38" s="182" t="str">
        <f>IF(INDEX('2. Dateneingabe'!B42:AK42,1,'3. Ausgabe'!$H$3*2)=0,"",INDEX('2. Dateneingabe'!B42:AK42,1,'3. Ausgabe'!$H$3*2))</f>
        <v>€</v>
      </c>
      <c r="H38" s="144" t="e">
        <f>IF(F38=MIN(#REF!,$C38,$F38),$A38,"")</f>
        <v>#REF!</v>
      </c>
      <c r="I38" s="162"/>
      <c r="J38" s="39"/>
      <c r="K38" s="39"/>
      <c r="L38" s="39"/>
      <c r="M38" s="39"/>
      <c r="N38" s="39"/>
    </row>
    <row r="39" spans="1:14" ht="11.25" customHeight="1">
      <c r="A39" s="292">
        <v>6</v>
      </c>
      <c r="B39" s="143" t="e">
        <f>IF(#REF!=MIN(#REF!,$C39,$F39),$A39,"")</f>
        <v>#REF!</v>
      </c>
      <c r="C39" s="185">
        <f>IF(INDEX('2. Dateneingabe'!B43:'2. Dateneingabe'!AJ43,1,'3. Ausgabe'!$E$2*2-1)=0,"",INDEX('2. Dateneingabe'!B43:'2. Dateneingabe'!AJ43,1,'3. Ausgabe'!$E$2*2-1))</f>
        <v>28483.585720345873</v>
      </c>
      <c r="D39" s="182" t="str">
        <f>IF(INDEX('2. Dateneingabe'!C43:'2. Dateneingabe'!AK43,1,'3. Ausgabe'!$E$2*2-1)=0,"",INDEX('2. Dateneingabe'!C43:'2. Dateneingabe'!AK43,1,'3. Ausgabe'!$E$2*2-1))</f>
        <v>€</v>
      </c>
      <c r="E39" s="143" t="e">
        <f>IF(C39=MIN(#REF!,$C39,$F39),$A39,"")</f>
        <v>#REF!</v>
      </c>
      <c r="F39" s="197">
        <f>IF(INDEX('2. Dateneingabe'!B43:'2. Dateneingabe'!AK43,1,'3. Ausgabe'!$H$3*2-1)=0,"",INDEX('2. Dateneingabe'!B43:'2. Dateneingabe'!AK43,1,'3. Ausgabe'!$H$3*2-1))</f>
        <v>36417.88889537341</v>
      </c>
      <c r="G39" s="182" t="str">
        <f>IF(INDEX('2. Dateneingabe'!B43:AK43,1,'3. Ausgabe'!$H$3*2)=0,"",INDEX('2. Dateneingabe'!B43:AK43,1,'3. Ausgabe'!$H$3*2))</f>
        <v>€</v>
      </c>
      <c r="H39" s="144" t="e">
        <f>IF(F39=MIN(#REF!,$C39,$F39),$A39,"")</f>
        <v>#REF!</v>
      </c>
      <c r="I39" s="162"/>
      <c r="J39" s="39"/>
      <c r="K39" s="39"/>
      <c r="L39" s="39"/>
      <c r="M39" s="39"/>
      <c r="N39" s="39"/>
    </row>
    <row r="40" spans="1:14" ht="11.25" customHeight="1">
      <c r="A40" s="292">
        <v>7</v>
      </c>
      <c r="B40" s="143" t="e">
        <f>IF(#REF!=MIN(#REF!,$C40,$F40),$A40,"")</f>
        <v>#REF!</v>
      </c>
      <c r="C40" s="185">
        <f>IF(INDEX('2. Dateneingabe'!B44:'2. Dateneingabe'!AJ44,1,'3. Ausgabe'!$E$2*2-1)=0,"",INDEX('2. Dateneingabe'!B44:'2. Dateneingabe'!AJ44,1,'3. Ausgabe'!$E$2*2-1))</f>
        <v>30374.581689460374</v>
      </c>
      <c r="D40" s="182" t="str">
        <f>IF(INDEX('2. Dateneingabe'!C44:'2. Dateneingabe'!AK44,1,'3. Ausgabe'!$E$2*2-1)=0,"",INDEX('2. Dateneingabe'!C44:'2. Dateneingabe'!AK44,1,'3. Ausgabe'!$E$2*2-1))</f>
        <v>€</v>
      </c>
      <c r="E40" s="143" t="e">
        <f>IF(C40=MIN(#REF!,$C40,$F40),$A40,"")</f>
        <v>#REF!</v>
      </c>
      <c r="F40" s="197">
        <f>IF(INDEX('2. Dateneingabe'!B44:'2. Dateneingabe'!AK44,1,'3. Ausgabe'!$H$3*2-1)=0,"",INDEX('2. Dateneingabe'!B44:'2. Dateneingabe'!AK44,1,'3. Ausgabe'!$H$3*2-1))</f>
        <v>37779.812681903946</v>
      </c>
      <c r="G40" s="182" t="str">
        <f>IF(INDEX('2. Dateneingabe'!B44:AK44,1,'3. Ausgabe'!$H$3*2)=0,"",INDEX('2. Dateneingabe'!B44:AK44,1,'3. Ausgabe'!$H$3*2))</f>
        <v>€</v>
      </c>
      <c r="H40" s="144" t="e">
        <f>IF(F40=MIN(#REF!,$C40,$F40),$A40,"")</f>
        <v>#REF!</v>
      </c>
      <c r="I40" s="162"/>
      <c r="J40" s="39"/>
      <c r="K40" s="39"/>
      <c r="L40" s="39"/>
      <c r="M40" s="39"/>
      <c r="N40" s="39"/>
    </row>
    <row r="41" spans="1:14" ht="11.25" customHeight="1">
      <c r="A41" s="292">
        <v>8</v>
      </c>
      <c r="B41" s="143" t="e">
        <f>IF(#REF!=MIN(#REF!,$C41,$F41),$A41,"")</f>
        <v>#REF!</v>
      </c>
      <c r="C41" s="185">
        <f>IF(INDEX('2. Dateneingabe'!B45:'2. Dateneingabe'!AJ45,1,'3. Ausgabe'!$E$2*2-1)=0,"",INDEX('2. Dateneingabe'!B45:'2. Dateneingabe'!AJ45,1,'3. Ausgabe'!$E$2*2-1))</f>
        <v>32283.28146784177</v>
      </c>
      <c r="D41" s="182" t="str">
        <f>IF(INDEX('2. Dateneingabe'!C45:'2. Dateneingabe'!AK45,1,'3. Ausgabe'!$E$2*2-1)=0,"",INDEX('2. Dateneingabe'!C45:'2. Dateneingabe'!AK45,1,'3. Ausgabe'!$E$2*2-1))</f>
        <v>€</v>
      </c>
      <c r="E41" s="143" t="e">
        <f>IF(C41=MIN(#REF!,$C41,$F41),$A41,"")</f>
        <v>#REF!</v>
      </c>
      <c r="F41" s="197">
        <f>IF(INDEX('2. Dateneingabe'!B45:'2. Dateneingabe'!AK45,1,'3. Ausgabe'!$H$3*2-1)=0,"",INDEX('2. Dateneingabe'!B45:'2. Dateneingabe'!AK45,1,'3. Ausgabe'!$H$3*2-1))</f>
        <v>39154.123013866825</v>
      </c>
      <c r="G41" s="182" t="str">
        <f>IF(INDEX('2. Dateneingabe'!B45:AK45,1,'3. Ausgabe'!$H$3*2)=0,"",INDEX('2. Dateneingabe'!B45:AK45,1,'3. Ausgabe'!$H$3*2))</f>
        <v>€</v>
      </c>
      <c r="H41" s="144" t="e">
        <f>IF(F41=MIN(#REF!,$C41,$F41),$A41,"")</f>
        <v>#REF!</v>
      </c>
      <c r="I41" s="162"/>
      <c r="J41" s="39"/>
      <c r="K41" s="39"/>
      <c r="L41" s="39"/>
      <c r="M41" s="39"/>
      <c r="N41" s="39"/>
    </row>
    <row r="42" spans="1:14" ht="11.25" customHeight="1">
      <c r="A42" s="292">
        <v>9</v>
      </c>
      <c r="B42" s="143" t="e">
        <f>IF(#REF!=MIN(#REF!,$C42,$F42),$A42,"")</f>
        <v>#REF!</v>
      </c>
      <c r="C42" s="185">
        <f>IF(INDEX('2. Dateneingabe'!B46:'2. Dateneingabe'!AJ46,1,'3. Ausgabe'!$E$2*2-1)=0,"",INDEX('2. Dateneingabe'!B46:'2. Dateneingabe'!AJ46,1,'3. Ausgabe'!$E$2*2-1))</f>
        <v>34209.8564603605</v>
      </c>
      <c r="D42" s="182" t="str">
        <f>IF(INDEX('2. Dateneingabe'!C46:'2. Dateneingabe'!AK46,1,'3. Ausgabe'!$E$2*2-1)=0,"",INDEX('2. Dateneingabe'!C46:'2. Dateneingabe'!AK46,1,'3. Ausgabe'!$E$2*2-1))</f>
        <v>€</v>
      </c>
      <c r="E42" s="143" t="e">
        <f>IF(C42=MIN(#REF!,$C42,$F42),$A42,"")</f>
        <v>#REF!</v>
      </c>
      <c r="F42" s="197">
        <f>IF(INDEX('2. Dateneingabe'!B46:'2. Dateneingabe'!AK46,1,'3. Ausgabe'!$H$3*2-1)=0,"",INDEX('2. Dateneingabe'!B46:'2. Dateneingabe'!AK46,1,'3. Ausgabe'!$H$3*2-1))</f>
        <v>40540.93785674251</v>
      </c>
      <c r="G42" s="182" t="str">
        <f>IF(INDEX('2. Dateneingabe'!B46:AK46,1,'3. Ausgabe'!$H$3*2)=0,"",INDEX('2. Dateneingabe'!B46:AK46,1,'3. Ausgabe'!$H$3*2))</f>
        <v>€</v>
      </c>
      <c r="H42" s="144" t="e">
        <f>IF(F42=MIN(#REF!,$C42,$F42),$A42,"")</f>
        <v>#REF!</v>
      </c>
      <c r="I42" s="162"/>
      <c r="J42" s="39"/>
      <c r="K42" s="39"/>
      <c r="L42" s="39"/>
      <c r="M42" s="39"/>
      <c r="N42" s="39"/>
    </row>
    <row r="43" spans="1:14" ht="11.25" customHeight="1">
      <c r="A43" s="292">
        <v>10</v>
      </c>
      <c r="B43" s="143" t="e">
        <f>IF(#REF!=MIN(#REF!,$C43,$F43),$A43,"")</f>
        <v>#REF!</v>
      </c>
      <c r="C43" s="185">
        <f>IF(INDEX('2. Dateneingabe'!B47:'2. Dateneingabe'!AJ47,1,'3. Ausgabe'!$E$2*2-1)=0,"",INDEX('2. Dateneingabe'!B47:'2. Dateneingabe'!AJ47,1,'3. Ausgabe'!$E$2*2-1))</f>
        <v>36154.47976184607</v>
      </c>
      <c r="D43" s="182" t="str">
        <f>IF(INDEX('2. Dateneingabe'!C47:'2. Dateneingabe'!AK47,1,'3. Ausgabe'!$E$2*2-1)=0,"",INDEX('2. Dateneingabe'!C47:'2. Dateneingabe'!AK47,1,'3. Ausgabe'!$E$2*2-1))</f>
        <v>€</v>
      </c>
      <c r="E43" s="143" t="e">
        <f>IF(C43=MIN(#REF!,$C43,$F43),$A43,"")</f>
        <v>#REF!</v>
      </c>
      <c r="F43" s="197">
        <f>IF(INDEX('2. Dateneingabe'!B47:'2. Dateneingabe'!AK47,1,'3. Ausgabe'!$H$3*2-1)=0,"",INDEX('2. Dateneingabe'!B47:'2. Dateneingabe'!AK47,1,'3. Ausgabe'!$H$3*2-1))</f>
        <v>41940.376328895756</v>
      </c>
      <c r="G43" s="182" t="str">
        <f>IF(INDEX('2. Dateneingabe'!B47:AK47,1,'3. Ausgabe'!$H$3*2)=0,"",INDEX('2. Dateneingabe'!B47:AK47,1,'3. Ausgabe'!$H$3*2))</f>
        <v>€</v>
      </c>
      <c r="H43" s="144" t="e">
        <f>IF(F43=MIN(#REF!,$C43,$F43),$A43,"")</f>
        <v>#REF!</v>
      </c>
      <c r="I43" s="162"/>
      <c r="J43" s="39"/>
      <c r="K43" s="39"/>
      <c r="L43" s="39"/>
      <c r="M43" s="39"/>
      <c r="N43" s="39"/>
    </row>
    <row r="44" spans="1:14" ht="11.25" customHeight="1">
      <c r="A44" s="292">
        <v>11</v>
      </c>
      <c r="B44" s="143" t="e">
        <f>IF(#REF!=MIN(#REF!,$C44,$F44),$A44,"")</f>
        <v>#REF!</v>
      </c>
      <c r="C44" s="185">
        <f>IF(INDEX('2. Dateneingabe'!B48:'2. Dateneingabe'!AJ48,1,'3. Ausgabe'!$E$2*2-1)=0,"",INDEX('2. Dateneingabe'!B48:'2. Dateneingabe'!AJ48,1,'3. Ausgabe'!$E$2*2-1))</f>
        <v>38117.32617390755</v>
      </c>
      <c r="D44" s="182" t="str">
        <f>IF(INDEX('2. Dateneingabe'!C48:'2. Dateneingabe'!AK48,1,'3. Ausgabe'!$E$2*2-1)=0,"",INDEX('2. Dateneingabe'!C48:'2. Dateneingabe'!AK48,1,'3. Ausgabe'!$E$2*2-1))</f>
        <v>€</v>
      </c>
      <c r="E44" s="143" t="e">
        <f>IF(C44=MIN(#REF!,$C44,$F44),$A44,"")</f>
        <v>#REF!</v>
      </c>
      <c r="F44" s="197">
        <f>IF(INDEX('2. Dateneingabe'!B48:'2. Dateneingabe'!AK48,1,'3. Ausgabe'!$H$3*2-1)=0,"",INDEX('2. Dateneingabe'!B48:'2. Dateneingabe'!AK48,1,'3. Ausgabe'!$H$3*2-1))</f>
        <v>43352.55871299837</v>
      </c>
      <c r="G44" s="182" t="str">
        <f>IF(INDEX('2. Dateneingabe'!B48:AK48,1,'3. Ausgabe'!$H$3*2)=0,"",INDEX('2. Dateneingabe'!B48:AK48,1,'3. Ausgabe'!$H$3*2))</f>
        <v>€</v>
      </c>
      <c r="H44" s="144" t="e">
        <f>IF(F44=MIN(#REF!,$C44,$F44),$A44,"")</f>
        <v>#REF!</v>
      </c>
      <c r="I44" s="162"/>
      <c r="J44" s="39"/>
      <c r="K44" s="39"/>
      <c r="L44" s="39"/>
      <c r="M44" s="39"/>
      <c r="N44" s="39"/>
    </row>
    <row r="45" spans="1:14" ht="11.25" customHeight="1">
      <c r="A45" s="292">
        <v>12</v>
      </c>
      <c r="B45" s="145" t="e">
        <f>IF(#REF!=MIN(#REF!,$C45,$F45),$A45,"")</f>
        <v>#REF!</v>
      </c>
      <c r="C45" s="185">
        <f>IF(INDEX('2. Dateneingabe'!B49:'2. Dateneingabe'!AJ49,1,'3. Ausgabe'!$E$2*2-1)=0,"",INDEX('2. Dateneingabe'!B49:'2. Dateneingabe'!AJ49,1,'3. Ausgabe'!$E$2*2-1))</f>
        <v>40098.57222192246</v>
      </c>
      <c r="D45" s="182" t="str">
        <f>IF(INDEX('2. Dateneingabe'!C49:'2. Dateneingabe'!AK49,1,'3. Ausgabe'!$E$2*2-1)=0,"",INDEX('2. Dateneingabe'!C49:'2. Dateneingabe'!AK49,1,'3. Ausgabe'!$E$2*2-1))</f>
        <v>€</v>
      </c>
      <c r="E45" s="143" t="e">
        <f>IF(C45=MIN(#REF!,$C45,$F45),$A45,"")</f>
        <v>#REF!</v>
      </c>
      <c r="F45" s="197">
        <f>IF(INDEX('2. Dateneingabe'!B49:'2. Dateneingabe'!AK49,1,'3. Ausgabe'!$H$3*2-1)=0,"",INDEX('2. Dateneingabe'!B49:'2. Dateneingabe'!AK49,1,'3. Ausgabe'!$H$3*2-1))</f>
        <v>44777.60646756618</v>
      </c>
      <c r="G45" s="182" t="str">
        <f>IF(INDEX('2. Dateneingabe'!B49:AK49,1,'3. Ausgabe'!$H$3*2)=0,"",INDEX('2. Dateneingabe'!B49:AK49,1,'3. Ausgabe'!$H$3*2))</f>
        <v>€</v>
      </c>
      <c r="H45" s="144" t="e">
        <f>IF(F45=MIN(#REF!,$C45,$F45),$A45,"")</f>
        <v>#REF!</v>
      </c>
      <c r="I45" s="162"/>
      <c r="J45" s="39"/>
      <c r="K45" s="39"/>
      <c r="L45" s="39"/>
      <c r="M45" s="39"/>
      <c r="N45" s="39"/>
    </row>
    <row r="46" spans="1:14" ht="11.25" customHeight="1">
      <c r="A46" s="292">
        <v>13</v>
      </c>
      <c r="B46" s="145" t="e">
        <f>IF(#REF!=MIN(#REF!,$C46,$F46),$A46,"")</f>
        <v>#REF!</v>
      </c>
      <c r="C46" s="185">
        <f>IF(INDEX('2. Dateneingabe'!B50:'2. Dateneingabe'!AJ50,1,'3. Ausgabe'!$E$2*2-1)=0,"",INDEX('2. Dateneingabe'!B50:'2. Dateneingabe'!AJ50,1,'3. Ausgabe'!$E$2*2-1))</f>
        <v>42098.39617219519</v>
      </c>
      <c r="D46" s="182" t="str">
        <f>IF(INDEX('2. Dateneingabe'!C50:'2. Dateneingabe'!AK50,1,'3. Ausgabe'!$E$2*2-1)=0,"",INDEX('2. Dateneingabe'!C50:'2. Dateneingabe'!AK50,1,'3. Ausgabe'!$E$2*2-1))</f>
        <v>€</v>
      </c>
      <c r="E46" s="143" t="e">
        <f>IF(C46=MIN(#REF!,$C46,$F46),$A46,"")</f>
        <v>#REF!</v>
      </c>
      <c r="F46" s="197">
        <f>IF(INDEX('2. Dateneingabe'!B50:'2. Dateneingabe'!AK50,1,'3. Ausgabe'!$H$3*2-1)=0,"",INDEX('2. Dateneingabe'!B50:'2. Dateneingabe'!AK50,1,'3. Ausgabe'!$H$3*2-1))</f>
        <v>46215.64223861074</v>
      </c>
      <c r="G46" s="182" t="str">
        <f>IF(INDEX('2. Dateneingabe'!B50:AK50,1,'3. Ausgabe'!$H$3*2)=0,"",INDEX('2. Dateneingabe'!B50:AK50,1,'3. Ausgabe'!$H$3*2))</f>
        <v>€</v>
      </c>
      <c r="H46" s="144" t="e">
        <f>IF(F46=MIN(#REF!,$C46,$F46),$A46,"")</f>
        <v>#REF!</v>
      </c>
      <c r="I46" s="162"/>
      <c r="J46" s="39"/>
      <c r="K46" s="39"/>
      <c r="L46" s="39"/>
      <c r="M46" s="39"/>
      <c r="N46" s="39"/>
    </row>
    <row r="47" spans="1:14" ht="11.25" customHeight="1">
      <c r="A47" s="292">
        <v>14</v>
      </c>
      <c r="B47" s="145" t="e">
        <f>IF(#REF!=MIN(#REF!,$C47,$F47),$A47,"")</f>
        <v>#REF!</v>
      </c>
      <c r="C47" s="185">
        <f>IF(INDEX('2. Dateneingabe'!B51:'2. Dateneingabe'!AJ51,1,'3. Ausgabe'!$E$2*2-1)=0,"",INDEX('2. Dateneingabe'!B51:'2. Dateneingabe'!AJ51,1,'3. Ausgabe'!$E$2*2-1))</f>
        <v>44116.97804928757</v>
      </c>
      <c r="D47" s="182" t="str">
        <f>IF(INDEX('2. Dateneingabe'!C51:'2. Dateneingabe'!AK51,1,'3. Ausgabe'!$E$2*2-1)=0,"",INDEX('2. Dateneingabe'!C51:'2. Dateneingabe'!AK51,1,'3. Ausgabe'!$E$2*2-1))</f>
        <v>€</v>
      </c>
      <c r="E47" s="143" t="e">
        <f>IF(C47=MIN(#REF!,$C47,$F47),$A47,"")</f>
        <v>#REF!</v>
      </c>
      <c r="F47" s="197">
        <f>IF(INDEX('2. Dateneingabe'!B51:'2. Dateneingabe'!AK51,1,'3. Ausgabe'!$H$3*2-1)=0,"",INDEX('2. Dateneingabe'!B51:'2. Dateneingabe'!AK51,1,'3. Ausgabe'!$H$3*2-1))</f>
        <v>47666.78987140779</v>
      </c>
      <c r="G47" s="182" t="str">
        <f>IF(INDEX('2. Dateneingabe'!B51:AK51,1,'3. Ausgabe'!$H$3*2)=0,"",INDEX('2. Dateneingabe'!B51:AK51,1,'3. Ausgabe'!$H$3*2))</f>
        <v>€</v>
      </c>
      <c r="H47" s="144" t="e">
        <f>IF(F47=MIN(#REF!,$C47,$F47),$A47,"")</f>
        <v>#REF!</v>
      </c>
      <c r="I47" s="162"/>
      <c r="J47" s="39"/>
      <c r="K47" s="39"/>
      <c r="L47" s="39"/>
      <c r="M47" s="39"/>
      <c r="N47" s="39"/>
    </row>
    <row r="48" spans="1:14" ht="11.25" customHeight="1">
      <c r="A48" s="292">
        <v>15</v>
      </c>
      <c r="B48" s="145" t="e">
        <f>IF(#REF!=MIN(#REF!,$C48,$F48),$A48,"")</f>
        <v>#REF!</v>
      </c>
      <c r="C48" s="185">
        <f>IF(INDEX('2. Dateneingabe'!B52:'2. Dateneingabe'!AJ52,1,'3. Ausgabe'!$E$2*2-1)=0,"",INDEX('2. Dateneingabe'!B52:'2. Dateneingabe'!AJ52,1,'3. Ausgabe'!$E$2*2-1))</f>
        <v>46154.49965352216</v>
      </c>
      <c r="D48" s="182" t="str">
        <f>IF(INDEX('2. Dateneingabe'!C52:'2. Dateneingabe'!AK52,1,'3. Ausgabe'!$E$2*2-1)=0,"",INDEX('2. Dateneingabe'!C52:'2. Dateneingabe'!AK52,1,'3. Ausgabe'!$E$2*2-1))</f>
        <v>€</v>
      </c>
      <c r="E48" s="143" t="e">
        <f>IF(C48=MIN(#REF!,$C48,$F48),$A48,"")</f>
        <v>#REF!</v>
      </c>
      <c r="F48" s="197">
        <f>IF(INDEX('2. Dateneingabe'!B52:'2. Dateneingabe'!AK52,1,'3. Ausgabe'!$H$3*2-1)=0,"",INDEX('2. Dateneingabe'!B52:'2. Dateneingabe'!AK52,1,'3. Ausgabe'!$H$3*2-1))</f>
        <v>49131.1744223826</v>
      </c>
      <c r="G48" s="182" t="str">
        <f>IF(INDEX('2. Dateneingabe'!B52:AK52,1,'3. Ausgabe'!$H$3*2)=0,"",INDEX('2. Dateneingabe'!B52:AK52,1,'3. Ausgabe'!$H$3*2))</f>
        <v>€</v>
      </c>
      <c r="H48" s="144" t="e">
        <f>IF(F48=MIN(#REF!,$C48,$F48),$A48,"")</f>
        <v>#REF!</v>
      </c>
      <c r="I48" s="162"/>
      <c r="J48" s="39"/>
      <c r="K48" s="39"/>
      <c r="L48" s="39"/>
      <c r="M48" s="39"/>
      <c r="N48" s="39"/>
    </row>
    <row r="49" spans="1:14" ht="11.25" customHeight="1">
      <c r="A49" s="292">
        <v>16</v>
      </c>
      <c r="B49" s="145" t="e">
        <f>IF(#REF!=MIN(#REF!,$C49,$F49),$A49,"")</f>
        <v>#REF!</v>
      </c>
      <c r="C49" s="185">
        <f>IF(INDEX('2. Dateneingabe'!B53:'2. Dateneingabe'!AJ53,1,'3. Ausgabe'!$E$2*2-1)=0,"",INDEX('2. Dateneingabe'!B53:'2. Dateneingabe'!AJ53,1,'3. Ausgabe'!$E$2*2-1))</f>
        <v>48211.1445786613</v>
      </c>
      <c r="D49" s="182" t="str">
        <f>IF(INDEX('2. Dateneingabe'!C53:'2. Dateneingabe'!AK53,1,'3. Ausgabe'!$E$2*2-1)=0,"",INDEX('2. Dateneingabe'!C53:'2. Dateneingabe'!AK53,1,'3. Ausgabe'!$E$2*2-1))</f>
        <v>€</v>
      </c>
      <c r="E49" s="143" t="e">
        <f>IF(C49=MIN(#REF!,$C49,$F49),$A49,"")</f>
        <v>#REF!</v>
      </c>
      <c r="F49" s="197">
        <f>IF(INDEX('2. Dateneingabe'!B53:'2. Dateneingabe'!AK53,1,'3. Ausgabe'!$H$3*2-1)=0,"",INDEX('2. Dateneingabe'!B53:'2. Dateneingabe'!AK53,1,'3. Ausgabe'!$H$3*2-1))</f>
        <v>50608.92217111457</v>
      </c>
      <c r="G49" s="182" t="str">
        <f>IF(INDEX('2. Dateneingabe'!B53:AK53,1,'3. Ausgabe'!$H$3*2)=0,"",INDEX('2. Dateneingabe'!B53:AK53,1,'3. Ausgabe'!$H$3*2))</f>
        <v>€</v>
      </c>
      <c r="H49" s="144" t="e">
        <f>IF(F49=MIN(#REF!,$C49,$F49),$A49,"")</f>
        <v>#REF!</v>
      </c>
      <c r="I49" s="162"/>
      <c r="J49" s="39"/>
      <c r="K49" s="39"/>
      <c r="L49" s="39"/>
      <c r="M49" s="39"/>
      <c r="N49" s="39"/>
    </row>
    <row r="50" spans="1:14" ht="11.25" customHeight="1">
      <c r="A50" s="292">
        <v>17</v>
      </c>
      <c r="B50" s="145" t="e">
        <f>IF(#REF!=MIN(#REF!,$C50,$F50),$A50,"")</f>
        <v>#REF!</v>
      </c>
      <c r="C50" s="185">
        <f>IF(INDEX('2. Dateneingabe'!B54:'2. Dateneingabe'!AJ54,1,'3. Ausgabe'!$E$2*2-1)=0,"",INDEX('2. Dateneingabe'!B54:'2. Dateneingabe'!AJ54,1,'3. Ausgabe'!$E$2*2-1))</f>
        <v>50287.09822976226</v>
      </c>
      <c r="D50" s="182" t="str">
        <f>IF(INDEX('2. Dateneingabe'!C54:'2. Dateneingabe'!AK54,1,'3. Ausgabe'!$E$2*2-1)=0,"",INDEX('2. Dateneingabe'!C54:'2. Dateneingabe'!AK54,1,'3. Ausgabe'!$E$2*2-1))</f>
        <v>€</v>
      </c>
      <c r="E50" s="143" t="e">
        <f>IF(C50=MIN(#REF!,$C50,$F50),$A50,"")</f>
        <v>#REF!</v>
      </c>
      <c r="F50" s="197">
        <f>IF(INDEX('2. Dateneingabe'!B54:'2. Dateneingabe'!AK54,1,'3. Ausgabe'!$H$3*2-1)=0,"",INDEX('2. Dateneingabe'!B54:'2. Dateneingabe'!AK54,1,'3. Ausgabe'!$H$3*2-1))</f>
        <v>52100.16063246094</v>
      </c>
      <c r="G50" s="182" t="str">
        <f>IF(INDEX('2. Dateneingabe'!B54:AK54,1,'3. Ausgabe'!$H$3*2)=0,"",INDEX('2. Dateneingabe'!B54:AK54,1,'3. Ausgabe'!$H$3*2))</f>
        <v>€</v>
      </c>
      <c r="H50" s="144" t="e">
        <f>IF(F50=MIN(#REF!,$C50,$F50),$A50,"")</f>
        <v>#REF!</v>
      </c>
      <c r="I50" s="162"/>
      <c r="J50" s="39"/>
      <c r="K50" s="39"/>
      <c r="L50" s="39"/>
      <c r="M50" s="39"/>
      <c r="N50" s="39"/>
    </row>
    <row r="51" spans="1:14" ht="11.25" customHeight="1">
      <c r="A51" s="292">
        <v>18</v>
      </c>
      <c r="B51" s="145" t="e">
        <f>IF(#REF!=MIN(#REF!,$C51,$F51),$A51,"")</f>
        <v>#REF!</v>
      </c>
      <c r="C51" s="185">
        <f>IF(INDEX('2. Dateneingabe'!B55:'2. Dateneingabe'!AJ55,1,'3. Ausgabe'!$E$2*2-1)=0,"",INDEX('2. Dateneingabe'!B55:'2. Dateneingabe'!AJ55,1,'3. Ausgabe'!$E$2*2-1))</f>
        <v>52382.547841211766</v>
      </c>
      <c r="D51" s="182" t="str">
        <f>IF(INDEX('2. Dateneingabe'!C55:'2. Dateneingabe'!AK55,1,'3. Ausgabe'!$E$2*2-1)=0,"",INDEX('2. Dateneingabe'!C55:'2. Dateneingabe'!AK55,1,'3. Ausgabe'!$E$2*2-1))</f>
        <v>€</v>
      </c>
      <c r="E51" s="143" t="e">
        <f>IF(C51=MIN(#REF!,$C51,$F51),$A51,"")</f>
        <v>#REF!</v>
      </c>
      <c r="F51" s="197">
        <f>IF(INDEX('2. Dateneingabe'!B55:'2. Dateneingabe'!AK55,1,'3. Ausgabe'!$H$3*2-1)=0,"",INDEX('2. Dateneingabe'!B55:'2. Dateneingabe'!AK55,1,'3. Ausgabe'!$H$3*2-1))</f>
        <v>53605.01856880215</v>
      </c>
      <c r="G51" s="182" t="str">
        <f>IF(INDEX('2. Dateneingabe'!B55:AK55,1,'3. Ausgabe'!$H$3*2)=0,"",INDEX('2. Dateneingabe'!B55:AK55,1,'3. Ausgabe'!$H$3*2))</f>
        <v>€</v>
      </c>
      <c r="H51" s="144" t="e">
        <f>IF(F51=MIN(#REF!,$C51,$F51),$A51,"")</f>
        <v>#REF!</v>
      </c>
      <c r="I51" s="162"/>
      <c r="J51" s="39"/>
      <c r="K51" s="39"/>
      <c r="L51" s="39"/>
      <c r="M51" s="39"/>
      <c r="N51" s="39"/>
    </row>
    <row r="52" spans="1:14" ht="11.25" customHeight="1">
      <c r="A52" s="292">
        <v>19</v>
      </c>
      <c r="B52" s="145" t="e">
        <f>IF(#REF!=MIN(#REF!,$C52,$F52),$A52,"")</f>
        <v>#REF!</v>
      </c>
      <c r="C52" s="185">
        <f>IF(INDEX('2. Dateneingabe'!B56:'2. Dateneingabe'!AJ56,1,'3. Ausgabe'!$E$2*2-1)=0,"",INDEX('2. Dateneingabe'!B56:'2. Dateneingabe'!AJ56,1,'3. Ausgabe'!$E$2*2-1))</f>
        <v>54497.68249494019</v>
      </c>
      <c r="D52" s="182" t="str">
        <f>IF(INDEX('2. Dateneingabe'!C56:'2. Dateneingabe'!AK56,1,'3. Ausgabe'!$E$2*2-1)=0,"",INDEX('2. Dateneingabe'!C56:'2. Dateneingabe'!AK56,1,'3. Ausgabe'!$E$2*2-1))</f>
        <v>€</v>
      </c>
      <c r="E52" s="143" t="e">
        <f>IF(C52=MIN(#REF!,$C52,$F52),$A52,"")</f>
        <v>#REF!</v>
      </c>
      <c r="F52" s="197">
        <f>IF(INDEX('2. Dateneingabe'!B56:'2. Dateneingabe'!AK56,1,'3. Ausgabe'!$H$3*2-1)=0,"",INDEX('2. Dateneingabe'!B56:'2. Dateneingabe'!AK56,1,'3. Ausgabe'!$H$3*2-1))</f>
        <v>55123.62600240891</v>
      </c>
      <c r="G52" s="182" t="str">
        <f>IF(INDEX('2. Dateneingabe'!B56:AK56,1,'3. Ausgabe'!$H$3*2)=0,"",INDEX('2. Dateneingabe'!B56:AK56,1,'3. Ausgabe'!$H$3*2))</f>
        <v>€</v>
      </c>
      <c r="H52" s="144" t="e">
        <f>IF(F52=MIN(#REF!,$C52,$F52),$A52,"")</f>
        <v>#REF!</v>
      </c>
      <c r="I52" s="162"/>
      <c r="J52" s="39"/>
      <c r="K52" s="39"/>
      <c r="L52" s="39"/>
      <c r="M52" s="39"/>
      <c r="N52" s="39"/>
    </row>
    <row r="53" spans="1:14" ht="11.25" customHeight="1" thickBot="1">
      <c r="A53" s="293">
        <v>20</v>
      </c>
      <c r="B53" s="146" t="e">
        <f>IF(#REF!=MIN(#REF!,$C53,$F53),$A53,"")</f>
        <v>#REF!</v>
      </c>
      <c r="C53" s="186">
        <f>IF(INDEX('2. Dateneingabe'!B57:'2. Dateneingabe'!AJ57,1,'3. Ausgabe'!$E$2*2-1)=0,"",INDEX('2. Dateneingabe'!B57:'2. Dateneingabe'!AJ57,1,'3. Ausgabe'!$E$2*2-1))</f>
        <v>56632.693138818446</v>
      </c>
      <c r="D53" s="182" t="str">
        <f>IF(INDEX('2. Dateneingabe'!C57:'2. Dateneingabe'!AK57,1,'3. Ausgabe'!$E$2*2-1)=0,"",INDEX('2. Dateneingabe'!C57:'2. Dateneingabe'!AK57,1,'3. Ausgabe'!$E$2*2-1))</f>
        <v>€</v>
      </c>
      <c r="E53" s="147" t="e">
        <f>IF(C53=MIN(#REF!,$C53,$F53),$A53,"")</f>
        <v>#REF!</v>
      </c>
      <c r="F53" s="198">
        <f>IF(INDEX('2. Dateneingabe'!B57:'2. Dateneingabe'!AK57,1,'3. Ausgabe'!$H$3*2-1)=0,"",INDEX('2. Dateneingabe'!B57:'2. Dateneingabe'!AK57,1,'3. Ausgabe'!$H$3*2-1))</f>
        <v>56656.11422793305</v>
      </c>
      <c r="G53" s="183" t="str">
        <f>IF(INDEX('2. Dateneingabe'!B57:AK57,1,'3. Ausgabe'!$H$3*2)=0,"",INDEX('2. Dateneingabe'!B57:AK57,1,'3. Ausgabe'!$H$3*2))</f>
        <v>€</v>
      </c>
      <c r="H53" s="144" t="e">
        <f>IF(F53=MIN(#REF!,$C53,$F53),$A53,"")</f>
        <v>#REF!</v>
      </c>
      <c r="I53" s="162"/>
      <c r="J53" s="39"/>
      <c r="K53" s="39"/>
      <c r="L53" s="39"/>
      <c r="M53" s="39"/>
      <c r="N53" s="39"/>
    </row>
    <row r="54" spans="1:14" ht="12.75">
      <c r="A54" s="294" t="s">
        <v>35</v>
      </c>
      <c r="C54" s="127"/>
      <c r="D54" s="158"/>
      <c r="F54" s="196">
        <f>IF(INDEX('2. Dateneingabe'!B58:'2. Dateneingabe'!AK58,1,'3. Ausgabe'!$H$3*2-1)=0,"",INDEX('2. Dateneingabe'!B58:'2. Dateneingabe'!AK58,1,'3. Ausgabe'!$H$3*2-1))</f>
      </c>
      <c r="G54" s="181">
        <f>IF(INDEX('2. Dateneingabe'!B58:AK58,1,'3. Ausgabe'!$H$3*2)=0,"",INDEX('2. Dateneingabe'!B58:AK58,1,'3. Ausgabe'!$H$3*2))</f>
      </c>
      <c r="I54" s="39"/>
      <c r="J54" s="39"/>
      <c r="K54" s="39"/>
      <c r="L54" s="39"/>
      <c r="M54" s="39"/>
      <c r="N54" s="39"/>
    </row>
    <row r="55" spans="1:17" ht="12.75">
      <c r="A55" s="295" t="s">
        <v>57</v>
      </c>
      <c r="B55" s="148"/>
      <c r="C55" s="185">
        <f>IF(INDEX('2. Dateneingabe'!B59:'2. Dateneingabe'!AJ59,1,'3. Ausgabe'!$E$2*2-1)=0,"",INDEX('2. Dateneingabe'!B59:'2. Dateneingabe'!AJ59,1,'3. Ausgabe'!$E$2*2-1))</f>
        <v>56632.693138818446</v>
      </c>
      <c r="D55" s="182" t="str">
        <f>IF(INDEX('2. Dateneingabe'!C59:'2. Dateneingabe'!AK59,1,'3. Ausgabe'!$E$2*2-1)=0,"",INDEX('2. Dateneingabe'!C59:'2. Dateneingabe'!AK59,1,'3. Ausgabe'!$E$2*2-1))</f>
        <v>€</v>
      </c>
      <c r="E55" s="148"/>
      <c r="F55" s="197">
        <f>IF(INDEX('2. Dateneingabe'!B59:'2. Dateneingabe'!AK59,1,'3. Ausgabe'!$H$3*2-1)=0,"",INDEX('2. Dateneingabe'!B59:'2. Dateneingabe'!AK59,1,'3. Ausgabe'!$H$3*2-1))</f>
        <v>56656.11422793305</v>
      </c>
      <c r="G55" s="182" t="str">
        <f>IF(INDEX('2. Dateneingabe'!B59:AK59,1,'3. Ausgabe'!$H$3*2)=0,"",INDEX('2. Dateneingabe'!B59:AK59,1,'3. Ausgabe'!$H$3*2))</f>
        <v>€</v>
      </c>
      <c r="H55" s="148"/>
      <c r="I55" s="39"/>
      <c r="J55" s="39"/>
      <c r="K55" s="39"/>
      <c r="L55" s="39"/>
      <c r="M55" s="39"/>
      <c r="N55" s="39"/>
      <c r="P55" s="163" t="s">
        <v>64</v>
      </c>
      <c r="Q55" s="164" t="e">
        <f>MIN(#REF!,C34,F34)</f>
        <v>#REF!</v>
      </c>
    </row>
    <row r="56" spans="1:14" ht="13.5" thickBot="1">
      <c r="A56" s="159" t="s">
        <v>8</v>
      </c>
      <c r="B56" s="148"/>
      <c r="C56" s="186">
        <f>IF(INDEX('2. Dateneingabe'!B61:'2. Dateneingabe'!AJ61,1,'3. Ausgabe'!$E$2*2-1)=0,"",INDEX('2. Dateneingabe'!B61:'2. Dateneingabe'!AJ61,1,'3. Ausgabe'!$E$2*2-1))</f>
        <v>2198.917931407002</v>
      </c>
      <c r="D56" s="183" t="str">
        <f>IF(INDEX('2. Dateneingabe'!C61:'2. Dateneingabe'!AK61,1,'3. Ausgabe'!$E$2*2-1)=0,"",INDEX('2. Dateneingabe'!C61:'2. Dateneingabe'!AK61,1,'3. Ausgabe'!$E$2*2-1))</f>
        <v>kg / a</v>
      </c>
      <c r="E56" s="148"/>
      <c r="F56" s="198">
        <f>IF(INDEX('2. Dateneingabe'!B61:'2. Dateneingabe'!AK61,1,'3. Ausgabe'!$H$3*2-1)=0,"",INDEX('2. Dateneingabe'!B61:'2. Dateneingabe'!AK61,1,'3. Ausgabe'!$H$3*2-1))</f>
        <v>1682.8453556686238</v>
      </c>
      <c r="G56" s="183" t="str">
        <f>IF(INDEX('2. Dateneingabe'!B61:AK61,1,'3. Ausgabe'!$H$3*2)=0,"",INDEX('2. Dateneingabe'!B61:AK61,1,'3. Ausgabe'!$H$3*2))</f>
        <v>kg / a</v>
      </c>
      <c r="H56" s="148"/>
      <c r="I56" s="39"/>
      <c r="K56" s="39"/>
      <c r="L56" s="39"/>
      <c r="M56" s="39"/>
      <c r="N56" s="361" t="s">
        <v>197</v>
      </c>
    </row>
    <row r="58" ht="12.75">
      <c r="A58" s="111"/>
    </row>
    <row r="88" spans="1:7" ht="12.75">
      <c r="A88" s="149" t="s">
        <v>58</v>
      </c>
      <c r="B88" s="150"/>
      <c r="C88" s="150"/>
      <c r="D88" s="150"/>
      <c r="E88" s="150"/>
      <c r="F88" s="150"/>
      <c r="G88" s="150"/>
    </row>
  </sheetData>
  <sheetProtection password="CC3F" sheet="1"/>
  <mergeCells count="1">
    <mergeCell ref="J2:M5"/>
  </mergeCells>
  <printOptions/>
  <pageMargins left="0.787401575" right="0.52" top="0.5" bottom="0.5" header="0.4921259845" footer="0.4921259845"/>
  <pageSetup fitToHeight="1" fitToWidth="1" horizontalDpi="600" verticalDpi="600" orientation="landscape" paperSize="9" scale="75" r:id="rId3"/>
  <drawing r:id="rId2"/>
  <legacyDrawing r:id="rId1"/>
</worksheet>
</file>

<file path=xl/worksheets/sheet4.xml><?xml version="1.0" encoding="utf-8"?>
<worksheet xmlns="http://schemas.openxmlformats.org/spreadsheetml/2006/main" xmlns:r="http://schemas.openxmlformats.org/officeDocument/2006/relationships">
  <sheetPr>
    <tabColor indexed="55"/>
  </sheetPr>
  <dimension ref="A1:A14"/>
  <sheetViews>
    <sheetView zoomScalePageLayoutView="0" workbookViewId="0" topLeftCell="A1">
      <selection activeCell="A12" sqref="A12"/>
    </sheetView>
  </sheetViews>
  <sheetFormatPr defaultColWidth="11.421875" defaultRowHeight="12.75"/>
  <cols>
    <col min="1" max="1" width="59.140625" style="298" customWidth="1"/>
    <col min="2" max="2" width="11.421875" style="34" customWidth="1"/>
  </cols>
  <sheetData>
    <row r="1" ht="12.75">
      <c r="A1" s="297" t="s">
        <v>143</v>
      </c>
    </row>
    <row r="2" ht="25.5">
      <c r="A2" s="297" t="s">
        <v>159</v>
      </c>
    </row>
    <row r="3" ht="12.75">
      <c r="A3" s="297" t="s">
        <v>144</v>
      </c>
    </row>
    <row r="4" ht="25.5">
      <c r="A4" s="297" t="s">
        <v>160</v>
      </c>
    </row>
    <row r="5" ht="12.75">
      <c r="A5" s="297" t="s">
        <v>161</v>
      </c>
    </row>
    <row r="6" ht="12.75">
      <c r="A6" s="297" t="s">
        <v>103</v>
      </c>
    </row>
    <row r="7" ht="12.75">
      <c r="A7" s="297" t="s">
        <v>162</v>
      </c>
    </row>
    <row r="8" ht="12.75">
      <c r="A8" s="297" t="s">
        <v>104</v>
      </c>
    </row>
    <row r="9" ht="12.75">
      <c r="A9" s="297" t="s">
        <v>163</v>
      </c>
    </row>
    <row r="10" ht="12.75">
      <c r="A10" s="297" t="s">
        <v>105</v>
      </c>
    </row>
    <row r="11" ht="12.75">
      <c r="A11" s="297" t="s">
        <v>164</v>
      </c>
    </row>
    <row r="12" ht="12.75">
      <c r="A12" s="297" t="s">
        <v>106</v>
      </c>
    </row>
    <row r="13" ht="12.75">
      <c r="A13" s="297" t="s">
        <v>165</v>
      </c>
    </row>
    <row r="14" ht="12.75">
      <c r="A14" s="297" t="s">
        <v>166</v>
      </c>
    </row>
  </sheetData>
  <sheetProtection password="CC3F" sheet="1"/>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B20" sqref="B20"/>
    </sheetView>
  </sheetViews>
  <sheetFormatPr defaultColWidth="11.421875" defaultRowHeight="12.75"/>
  <cols>
    <col min="1" max="1" width="1.8515625" style="0" customWidth="1"/>
  </cols>
  <sheetData>
    <row r="1" ht="15.75">
      <c r="A1" s="326" t="s">
        <v>113</v>
      </c>
    </row>
    <row r="3" ht="12.75">
      <c r="B3" s="325" t="s">
        <v>132</v>
      </c>
    </row>
    <row r="4" ht="12.75">
      <c r="C4" s="324" t="s">
        <v>114</v>
      </c>
    </row>
    <row r="5" ht="12.75">
      <c r="C5" s="324" t="s">
        <v>115</v>
      </c>
    </row>
    <row r="6" ht="12.75">
      <c r="C6" s="324" t="s">
        <v>116</v>
      </c>
    </row>
    <row r="7" ht="12.75">
      <c r="C7" s="324" t="s">
        <v>117</v>
      </c>
    </row>
    <row r="8" ht="12.75">
      <c r="C8" s="324" t="s">
        <v>118</v>
      </c>
    </row>
    <row r="9" ht="12.75">
      <c r="C9" s="324" t="s">
        <v>119</v>
      </c>
    </row>
    <row r="10" ht="12.75">
      <c r="C10" s="324" t="s">
        <v>125</v>
      </c>
    </row>
    <row r="11" spans="2:3" ht="12.75">
      <c r="B11" s="327" t="s">
        <v>171</v>
      </c>
      <c r="C11" s="324"/>
    </row>
    <row r="12" spans="2:3" ht="12.75">
      <c r="B12" s="327"/>
      <c r="C12" s="324"/>
    </row>
    <row r="14" ht="12.75">
      <c r="B14" s="325" t="s">
        <v>133</v>
      </c>
    </row>
    <row r="15" ht="12.75">
      <c r="C15" s="324" t="s">
        <v>120</v>
      </c>
    </row>
    <row r="16" ht="12.75">
      <c r="C16" s="324" t="s">
        <v>121</v>
      </c>
    </row>
    <row r="17" ht="12.75">
      <c r="C17" s="324" t="s">
        <v>122</v>
      </c>
    </row>
    <row r="18" ht="12.75">
      <c r="C18" s="324" t="s">
        <v>123</v>
      </c>
    </row>
    <row r="19" ht="12.75">
      <c r="C19" s="324" t="s">
        <v>124</v>
      </c>
    </row>
    <row r="20" ht="12.75">
      <c r="B20" s="327" t="s">
        <v>170</v>
      </c>
    </row>
    <row r="21" ht="12.75">
      <c r="B21" s="327"/>
    </row>
    <row r="23" ht="12.75">
      <c r="B23" s="325" t="s">
        <v>134</v>
      </c>
    </row>
    <row r="24" ht="12.75">
      <c r="C24" s="324" t="s">
        <v>126</v>
      </c>
    </row>
    <row r="25" ht="12.75">
      <c r="C25" s="324" t="s">
        <v>127</v>
      </c>
    </row>
    <row r="26" ht="12.75">
      <c r="C26" s="324" t="s">
        <v>128</v>
      </c>
    </row>
    <row r="27" ht="12.75">
      <c r="C27" s="324" t="s">
        <v>129</v>
      </c>
    </row>
    <row r="28" ht="12.75">
      <c r="C28" s="324" t="s">
        <v>130</v>
      </c>
    </row>
    <row r="29" ht="12.75">
      <c r="B29" s="325" t="s">
        <v>131</v>
      </c>
    </row>
    <row r="32" ht="12.75">
      <c r="B32" s="325" t="s">
        <v>140</v>
      </c>
    </row>
    <row r="33" ht="12.75">
      <c r="C33" s="324" t="s">
        <v>135</v>
      </c>
    </row>
    <row r="34" ht="12.75">
      <c r="C34" s="324" t="s">
        <v>136</v>
      </c>
    </row>
    <row r="35" ht="12.75">
      <c r="C35" s="324" t="s">
        <v>137</v>
      </c>
    </row>
    <row r="36" ht="12.75">
      <c r="C36" s="324" t="s">
        <v>138</v>
      </c>
    </row>
    <row r="37" ht="12.75">
      <c r="C37" s="324" t="s">
        <v>142</v>
      </c>
    </row>
    <row r="38" ht="12.75">
      <c r="C38" s="324" t="s">
        <v>141</v>
      </c>
    </row>
    <row r="39" ht="12.75">
      <c r="B39" s="325" t="s">
        <v>139</v>
      </c>
    </row>
    <row r="41" ht="12.75">
      <c r="A41" s="330"/>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Wagner Solar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 Vogel</dc:creator>
  <cp:keywords/>
  <dc:description/>
  <cp:lastModifiedBy>Vogel, Marian</cp:lastModifiedBy>
  <cp:lastPrinted>2010-01-05T09:31:25Z</cp:lastPrinted>
  <dcterms:created xsi:type="dcterms:W3CDTF">2004-07-27T14:49:40Z</dcterms:created>
  <dcterms:modified xsi:type="dcterms:W3CDTF">2015-09-16T12:43:35Z</dcterms:modified>
  <cp:category/>
  <cp:version/>
  <cp:contentType/>
  <cp:contentStatus/>
</cp:coreProperties>
</file>